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no de 2020\LICITAÇÕES E PROPOSTAS 2020\12 DEZEMBRO\01 - MINISTÉRIO DA ECONOMIA\DILIGÊNCIA 30.06.2021 - LOTE 18, 21 e 24\Lote 18 - Diligência\"/>
    </mc:Choice>
  </mc:AlternateContent>
  <xr:revisionPtr revIDLastSave="0" documentId="13_ncr:1_{5727C821-D164-4F2E-9279-ABD4ABE04250}" xr6:coauthVersionLast="47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Precificação Total" sheetId="1" r:id="rId1"/>
    <sheet name="Precificação por Lote" sheetId="2" r:id="rId2"/>
    <sheet name="Uniforme" sheetId="5" state="hidden" r:id="rId3"/>
    <sheet name="Uniforme " sheetId="7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2" i="1" l="1"/>
  <c r="O78" i="1" s="1"/>
  <c r="O71" i="1"/>
  <c r="Q71" i="1"/>
  <c r="R71" i="1"/>
  <c r="R72" i="1"/>
  <c r="R78" i="1" s="1"/>
  <c r="Q72" i="1"/>
  <c r="Q77" i="1" s="1"/>
  <c r="K71" i="1"/>
  <c r="G71" i="1"/>
  <c r="I71" i="1"/>
  <c r="J71" i="1"/>
  <c r="G72" i="1"/>
  <c r="G77" i="1" s="1"/>
  <c r="I72" i="1"/>
  <c r="I77" i="1" s="1"/>
  <c r="J77" i="1"/>
  <c r="K72" i="1"/>
  <c r="K78" i="1" s="1"/>
  <c r="M77" i="1"/>
  <c r="N77" i="1"/>
  <c r="M71" i="1"/>
  <c r="M72" i="1"/>
  <c r="M78" i="1" s="1"/>
  <c r="N71" i="1"/>
  <c r="N78" i="1"/>
  <c r="N72" i="1"/>
  <c r="O77" i="1" l="1"/>
  <c r="R77" i="1"/>
  <c r="Q78" i="1"/>
  <c r="K77" i="1"/>
  <c r="G78" i="1"/>
  <c r="I78" i="1"/>
  <c r="J78" i="1"/>
  <c r="J72" i="1"/>
  <c r="O68" i="1"/>
  <c r="K68" i="1"/>
  <c r="G68" i="1"/>
  <c r="I19" i="1" l="1"/>
  <c r="I16" i="1"/>
  <c r="G6" i="1" l="1"/>
  <c r="I6" i="1" s="1"/>
  <c r="J6" i="1" s="1"/>
  <c r="S4" i="2"/>
  <c r="S4" i="1"/>
  <c r="G7" i="1" l="1"/>
  <c r="I7" i="1" s="1"/>
  <c r="I68" i="1"/>
  <c r="D15" i="7"/>
  <c r="D14" i="7"/>
  <c r="D13" i="7"/>
  <c r="D12" i="7"/>
  <c r="D3" i="7"/>
  <c r="D18" i="7"/>
  <c r="J7" i="1" l="1"/>
  <c r="D16" i="7"/>
  <c r="D17" i="7" s="1"/>
  <c r="D6" i="7"/>
  <c r="D5" i="7"/>
  <c r="D4" i="7"/>
  <c r="D7" i="7" l="1"/>
  <c r="D8" i="7" s="1"/>
  <c r="D5" i="2" l="1"/>
  <c r="I5" i="2"/>
  <c r="N5" i="2"/>
  <c r="O20" i="1" l="1"/>
  <c r="Q20" i="1" s="1"/>
  <c r="R20" i="1" s="1"/>
  <c r="K20" i="1"/>
  <c r="M20" i="1" s="1"/>
  <c r="N20" i="1" s="1"/>
  <c r="G20" i="1"/>
  <c r="I20" i="1" s="1"/>
  <c r="S20" i="1" s="1"/>
  <c r="O17" i="1"/>
  <c r="K17" i="1"/>
  <c r="M17" i="1" s="1"/>
  <c r="N17" i="1" s="1"/>
  <c r="G17" i="1"/>
  <c r="O69" i="1"/>
  <c r="C129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88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3" i="5"/>
  <c r="O6" i="1"/>
  <c r="O14" i="1" s="1"/>
  <c r="Q14" i="1" s="1"/>
  <c r="R14" i="1" s="1"/>
  <c r="O22" i="1"/>
  <c r="O30" i="1" s="1"/>
  <c r="O32" i="1"/>
  <c r="O36" i="1" s="1"/>
  <c r="Q36" i="1" s="1"/>
  <c r="R36" i="1" s="1"/>
  <c r="O42" i="1"/>
  <c r="O44" i="1"/>
  <c r="Q44" i="1" s="1"/>
  <c r="R44" i="1" s="1"/>
  <c r="O45" i="1"/>
  <c r="O55" i="1"/>
  <c r="O62" i="1" s="1"/>
  <c r="O57" i="1"/>
  <c r="K6" i="1"/>
  <c r="K10" i="1" s="1"/>
  <c r="M10" i="1" s="1"/>
  <c r="N10" i="1" s="1"/>
  <c r="K22" i="1"/>
  <c r="K30" i="1" s="1"/>
  <c r="K32" i="1"/>
  <c r="K38" i="1" s="1"/>
  <c r="M38" i="1" s="1"/>
  <c r="N38" i="1" s="1"/>
  <c r="K42" i="1"/>
  <c r="K44" i="1"/>
  <c r="M44" i="1" s="1"/>
  <c r="N44" i="1" s="1"/>
  <c r="K45" i="1"/>
  <c r="K55" i="1"/>
  <c r="M55" i="1" s="1"/>
  <c r="N55" i="1" s="1"/>
  <c r="K57" i="1"/>
  <c r="G14" i="1"/>
  <c r="G22" i="1"/>
  <c r="G32" i="1"/>
  <c r="G34" i="1" s="1"/>
  <c r="I34" i="1" s="1"/>
  <c r="G42" i="1"/>
  <c r="G44" i="1"/>
  <c r="I44" i="1" s="1"/>
  <c r="G45" i="1"/>
  <c r="G55" i="1"/>
  <c r="G57" i="1"/>
  <c r="I57" i="1" s="1"/>
  <c r="J16" i="1"/>
  <c r="G18" i="1"/>
  <c r="G56" i="1"/>
  <c r="K56" i="1"/>
  <c r="O56" i="1"/>
  <c r="Q56" i="1" s="1"/>
  <c r="R56" i="1" s="1"/>
  <c r="K16" i="1"/>
  <c r="M16" i="1" s="1"/>
  <c r="K18" i="1"/>
  <c r="M18" i="1" s="1"/>
  <c r="N18" i="1" s="1"/>
  <c r="K19" i="1"/>
  <c r="O16" i="1"/>
  <c r="Q16" i="1" s="1"/>
  <c r="R16" i="1" s="1"/>
  <c r="O18" i="1"/>
  <c r="Q18" i="1" s="1"/>
  <c r="R18" i="1" s="1"/>
  <c r="O19" i="1"/>
  <c r="Q19" i="1" s="1"/>
  <c r="R19" i="1" s="1"/>
  <c r="K69" i="1"/>
  <c r="G38" i="1"/>
  <c r="I38" i="1" s="1"/>
  <c r="K36" i="1"/>
  <c r="M36" i="1" s="1"/>
  <c r="N36" i="1" s="1"/>
  <c r="O35" i="1"/>
  <c r="Q35" i="1" s="1"/>
  <c r="R35" i="1" s="1"/>
  <c r="O12" i="1"/>
  <c r="Q12" i="1" s="1"/>
  <c r="R12" i="1" s="1"/>
  <c r="S5" i="2"/>
  <c r="J68" i="1"/>
  <c r="M68" i="1"/>
  <c r="Q57" i="1"/>
  <c r="R57" i="1" s="1"/>
  <c r="M56" i="1"/>
  <c r="N56" i="1" s="1"/>
  <c r="Q55" i="1"/>
  <c r="R55" i="1" s="1"/>
  <c r="I42" i="1"/>
  <c r="M42" i="1"/>
  <c r="N42" i="1" s="1"/>
  <c r="Q42" i="1"/>
  <c r="R42" i="1" s="1"/>
  <c r="J20" i="1"/>
  <c r="J19" i="1"/>
  <c r="M19" i="1"/>
  <c r="Q17" i="1"/>
  <c r="R17" i="1" s="1"/>
  <c r="I18" i="1" l="1"/>
  <c r="S18" i="1" s="1"/>
  <c r="G30" i="1"/>
  <c r="I22" i="1"/>
  <c r="S22" i="1" s="1"/>
  <c r="N19" i="1"/>
  <c r="S19" i="1"/>
  <c r="J38" i="1"/>
  <c r="S38" i="1"/>
  <c r="J42" i="1"/>
  <c r="S42" i="1"/>
  <c r="N68" i="1"/>
  <c r="K13" i="1"/>
  <c r="M13" i="1" s="1"/>
  <c r="N13" i="1" s="1"/>
  <c r="J17" i="1"/>
  <c r="I17" i="1"/>
  <c r="S17" i="1" s="1"/>
  <c r="N16" i="1"/>
  <c r="S16" i="1"/>
  <c r="T16" i="1" s="1"/>
  <c r="J44" i="1"/>
  <c r="S44" i="1"/>
  <c r="I14" i="1"/>
  <c r="J56" i="1"/>
  <c r="I56" i="1"/>
  <c r="S56" i="1" s="1"/>
  <c r="G61" i="1"/>
  <c r="I61" i="1" s="1"/>
  <c r="I55" i="1"/>
  <c r="S55" i="1" s="1"/>
  <c r="J34" i="1"/>
  <c r="M32" i="1"/>
  <c r="N32" i="1" s="1"/>
  <c r="O39" i="1"/>
  <c r="Q39" i="1" s="1"/>
  <c r="R39" i="1" s="1"/>
  <c r="O34" i="1"/>
  <c r="Q34" i="1" s="1"/>
  <c r="R34" i="1" s="1"/>
  <c r="K35" i="1"/>
  <c r="M35" i="1" s="1"/>
  <c r="N35" i="1" s="1"/>
  <c r="G36" i="1"/>
  <c r="I36" i="1" s="1"/>
  <c r="K59" i="1"/>
  <c r="M59" i="1" s="1"/>
  <c r="N59" i="1" s="1"/>
  <c r="I32" i="1"/>
  <c r="O38" i="1"/>
  <c r="Q38" i="1" s="1"/>
  <c r="R38" i="1" s="1"/>
  <c r="K39" i="1"/>
  <c r="M39" i="1" s="1"/>
  <c r="N39" i="1" s="1"/>
  <c r="K34" i="1"/>
  <c r="M34" i="1" s="1"/>
  <c r="N34" i="1" s="1"/>
  <c r="G35" i="1"/>
  <c r="I35" i="1" s="1"/>
  <c r="Q32" i="1"/>
  <c r="R32" i="1" s="1"/>
  <c r="G39" i="1"/>
  <c r="I39" i="1" s="1"/>
  <c r="O59" i="1"/>
  <c r="Q59" i="1" s="1"/>
  <c r="R59" i="1" s="1"/>
  <c r="O8" i="1"/>
  <c r="Q8" i="1" s="1"/>
  <c r="R8" i="1" s="1"/>
  <c r="K9" i="1"/>
  <c r="M9" i="1" s="1"/>
  <c r="N9" i="1" s="1"/>
  <c r="G11" i="1"/>
  <c r="O50" i="1"/>
  <c r="M6" i="1"/>
  <c r="K8" i="1"/>
  <c r="M8" i="1" s="1"/>
  <c r="N8" i="1" s="1"/>
  <c r="G10" i="1"/>
  <c r="K48" i="1"/>
  <c r="M48" i="1" s="1"/>
  <c r="N48" i="1" s="1"/>
  <c r="Q6" i="1"/>
  <c r="R6" i="1" s="1"/>
  <c r="O11" i="1"/>
  <c r="Q11" i="1" s="1"/>
  <c r="R11" i="1" s="1"/>
  <c r="K12" i="1"/>
  <c r="M12" i="1" s="1"/>
  <c r="N12" i="1" s="1"/>
  <c r="G8" i="1"/>
  <c r="I8" i="1" s="1"/>
  <c r="O27" i="1"/>
  <c r="Q27" i="1" s="1"/>
  <c r="R27" i="1" s="1"/>
  <c r="O10" i="1"/>
  <c r="Q10" i="1" s="1"/>
  <c r="R10" i="1" s="1"/>
  <c r="G12" i="1"/>
  <c r="K28" i="1"/>
  <c r="M28" i="1" s="1"/>
  <c r="N28" i="1" s="1"/>
  <c r="G64" i="1"/>
  <c r="G53" i="1"/>
  <c r="I53" i="1" s="1"/>
  <c r="K61" i="1"/>
  <c r="M61" i="1" s="1"/>
  <c r="N61" i="1" s="1"/>
  <c r="K53" i="1"/>
  <c r="O63" i="1"/>
  <c r="Q63" i="1" s="1"/>
  <c r="R63" i="1" s="1"/>
  <c r="O53" i="1"/>
  <c r="Q22" i="1"/>
  <c r="R22" i="1" s="1"/>
  <c r="M57" i="1"/>
  <c r="N57" i="1" s="1"/>
  <c r="G24" i="1"/>
  <c r="G52" i="1"/>
  <c r="I52" i="1" s="1"/>
  <c r="O61" i="1"/>
  <c r="Q61" i="1" s="1"/>
  <c r="R61" i="1" s="1"/>
  <c r="K64" i="1"/>
  <c r="M64" i="1" s="1"/>
  <c r="N64" i="1" s="1"/>
  <c r="G60" i="1"/>
  <c r="G62" i="1"/>
  <c r="G65" i="1"/>
  <c r="I65" i="1" s="1"/>
  <c r="G37" i="1"/>
  <c r="G40" i="1"/>
  <c r="K62" i="1"/>
  <c r="M62" i="1" s="1"/>
  <c r="N62" i="1" s="1"/>
  <c r="K65" i="1"/>
  <c r="K37" i="1"/>
  <c r="M37" i="1" s="1"/>
  <c r="N37" i="1" s="1"/>
  <c r="K40" i="1"/>
  <c r="O65" i="1"/>
  <c r="O37" i="1"/>
  <c r="Q37" i="1" s="1"/>
  <c r="R37" i="1" s="1"/>
  <c r="O40" i="1"/>
  <c r="D3" i="5"/>
  <c r="G69" i="1"/>
  <c r="K63" i="1"/>
  <c r="M63" i="1" s="1"/>
  <c r="N63" i="1" s="1"/>
  <c r="K50" i="1"/>
  <c r="M50" i="1" s="1"/>
  <c r="N50" i="1" s="1"/>
  <c r="O52" i="1"/>
  <c r="Q52" i="1" s="1"/>
  <c r="R52" i="1" s="1"/>
  <c r="G47" i="1"/>
  <c r="I47" i="1" s="1"/>
  <c r="G59" i="1"/>
  <c r="G48" i="1"/>
  <c r="J57" i="1"/>
  <c r="K11" i="1"/>
  <c r="M11" i="1" s="1"/>
  <c r="N11" i="1" s="1"/>
  <c r="K14" i="1"/>
  <c r="M14" i="1" s="1"/>
  <c r="N14" i="1" s="1"/>
  <c r="Q68" i="1"/>
  <c r="R68" i="1" s="1"/>
  <c r="G25" i="1"/>
  <c r="G29" i="1"/>
  <c r="I29" i="1" s="1"/>
  <c r="K25" i="1"/>
  <c r="M25" i="1" s="1"/>
  <c r="N25" i="1" s="1"/>
  <c r="K29" i="1"/>
  <c r="M29" i="1" s="1"/>
  <c r="N29" i="1" s="1"/>
  <c r="O25" i="1"/>
  <c r="Q25" i="1" s="1"/>
  <c r="R25" i="1" s="1"/>
  <c r="O29" i="1"/>
  <c r="Q29" i="1" s="1"/>
  <c r="R29" i="1" s="1"/>
  <c r="T55" i="1"/>
  <c r="M45" i="1"/>
  <c r="N45" i="1" s="1"/>
  <c r="O26" i="1"/>
  <c r="Q26" i="1" s="1"/>
  <c r="R26" i="1" s="1"/>
  <c r="K27" i="1"/>
  <c r="M27" i="1" s="1"/>
  <c r="N27" i="1" s="1"/>
  <c r="G28" i="1"/>
  <c r="I28" i="1" s="1"/>
  <c r="O49" i="1"/>
  <c r="K52" i="1"/>
  <c r="M52" i="1" s="1"/>
  <c r="N52" i="1" s="1"/>
  <c r="K47" i="1"/>
  <c r="M47" i="1" s="1"/>
  <c r="N47" i="1" s="1"/>
  <c r="G51" i="1"/>
  <c r="I51" i="1" s="1"/>
  <c r="G50" i="1"/>
  <c r="I50" i="1" s="1"/>
  <c r="G9" i="1"/>
  <c r="G13" i="1"/>
  <c r="K49" i="1"/>
  <c r="M49" i="1" s="1"/>
  <c r="N49" i="1" s="1"/>
  <c r="O47" i="1"/>
  <c r="Q47" i="1" s="1"/>
  <c r="R47" i="1" s="1"/>
  <c r="O51" i="1"/>
  <c r="Q51" i="1" s="1"/>
  <c r="R51" i="1" s="1"/>
  <c r="O9" i="1"/>
  <c r="Q9" i="1" s="1"/>
  <c r="R9" i="1" s="1"/>
  <c r="O13" i="1"/>
  <c r="Q13" i="1" s="1"/>
  <c r="R13" i="1" s="1"/>
  <c r="T17" i="1"/>
  <c r="T56" i="1"/>
  <c r="M22" i="1"/>
  <c r="N22" i="1" s="1"/>
  <c r="J22" i="1"/>
  <c r="O24" i="1"/>
  <c r="Q24" i="1" s="1"/>
  <c r="R24" i="1" s="1"/>
  <c r="K26" i="1"/>
  <c r="M26" i="1" s="1"/>
  <c r="N26" i="1" s="1"/>
  <c r="G27" i="1"/>
  <c r="I27" i="1" s="1"/>
  <c r="O48" i="1"/>
  <c r="Q48" i="1" s="1"/>
  <c r="R48" i="1" s="1"/>
  <c r="K51" i="1"/>
  <c r="M51" i="1" s="1"/>
  <c r="N51" i="1" s="1"/>
  <c r="G49" i="1"/>
  <c r="I49" i="1" s="1"/>
  <c r="K60" i="1"/>
  <c r="G63" i="1"/>
  <c r="T20" i="1"/>
  <c r="Q45" i="1"/>
  <c r="R45" i="1" s="1"/>
  <c r="I45" i="1"/>
  <c r="O28" i="1"/>
  <c r="Q28" i="1" s="1"/>
  <c r="R28" i="1" s="1"/>
  <c r="K24" i="1"/>
  <c r="M24" i="1" s="1"/>
  <c r="N24" i="1" s="1"/>
  <c r="G26" i="1"/>
  <c r="O60" i="1"/>
  <c r="Q60" i="1" s="1"/>
  <c r="R60" i="1" s="1"/>
  <c r="O64" i="1"/>
  <c r="Q64" i="1" s="1"/>
  <c r="R64" i="1" s="1"/>
  <c r="F3" i="5"/>
  <c r="T18" i="1"/>
  <c r="T19" i="1"/>
  <c r="G46" i="1"/>
  <c r="Q69" i="1"/>
  <c r="R69" i="1" s="1"/>
  <c r="G58" i="1"/>
  <c r="I58" i="1" s="1"/>
  <c r="K58" i="1"/>
  <c r="K7" i="1"/>
  <c r="O58" i="1"/>
  <c r="O7" i="1"/>
  <c r="Q50" i="1"/>
  <c r="R50" i="1" s="1"/>
  <c r="K21" i="1"/>
  <c r="K43" i="1" s="1"/>
  <c r="J61" i="1"/>
  <c r="G33" i="1"/>
  <c r="K33" i="1"/>
  <c r="O33" i="1"/>
  <c r="M69" i="1"/>
  <c r="N69" i="1" s="1"/>
  <c r="Q49" i="1"/>
  <c r="R49" i="1" s="1"/>
  <c r="I48" i="1"/>
  <c r="G23" i="1"/>
  <c r="I23" i="1" s="1"/>
  <c r="K23" i="1"/>
  <c r="O23" i="1"/>
  <c r="T38" i="1"/>
  <c r="T44" i="1"/>
  <c r="Q62" i="1"/>
  <c r="M60" i="1"/>
  <c r="N60" i="1" s="1"/>
  <c r="O21" i="1"/>
  <c r="G21" i="1"/>
  <c r="I21" i="1" s="1"/>
  <c r="E3" i="5"/>
  <c r="K46" i="1"/>
  <c r="O46" i="1"/>
  <c r="J48" i="1" l="1"/>
  <c r="S48" i="1"/>
  <c r="I63" i="1"/>
  <c r="S63" i="1" s="1"/>
  <c r="T63" i="1" s="1"/>
  <c r="J51" i="1"/>
  <c r="S51" i="1"/>
  <c r="J28" i="1"/>
  <c r="S28" i="1"/>
  <c r="T28" i="1" s="1"/>
  <c r="I37" i="1"/>
  <c r="S37" i="1" s="1"/>
  <c r="J8" i="1"/>
  <c r="S8" i="1"/>
  <c r="T8" i="1" s="1"/>
  <c r="J35" i="1"/>
  <c r="S35" i="1"/>
  <c r="J32" i="1"/>
  <c r="S32" i="1"/>
  <c r="T32" i="1" s="1"/>
  <c r="S68" i="1"/>
  <c r="J27" i="1"/>
  <c r="S27" i="1"/>
  <c r="T27" i="1" s="1"/>
  <c r="J13" i="1"/>
  <c r="I13" i="1"/>
  <c r="S13" i="1" s="1"/>
  <c r="J29" i="1"/>
  <c r="S29" i="1"/>
  <c r="J59" i="1"/>
  <c r="I59" i="1"/>
  <c r="S59" i="1" s="1"/>
  <c r="I12" i="1"/>
  <c r="S12" i="1" s="1"/>
  <c r="I10" i="1"/>
  <c r="S10" i="1" s="1"/>
  <c r="T10" i="1" s="1"/>
  <c r="I11" i="1"/>
  <c r="S11" i="1" s="1"/>
  <c r="T11" i="1" s="1"/>
  <c r="J39" i="1"/>
  <c r="S39" i="1"/>
  <c r="S14" i="1"/>
  <c r="S57" i="1"/>
  <c r="T57" i="1" s="1"/>
  <c r="I26" i="1"/>
  <c r="S26" i="1" s="1"/>
  <c r="T26" i="1" s="1"/>
  <c r="J49" i="1"/>
  <c r="S49" i="1"/>
  <c r="I9" i="1"/>
  <c r="S9" i="1" s="1"/>
  <c r="T9" i="1" s="1"/>
  <c r="J25" i="1"/>
  <c r="I25" i="1"/>
  <c r="S25" i="1" s="1"/>
  <c r="J47" i="1"/>
  <c r="S47" i="1"/>
  <c r="T47" i="1" s="1"/>
  <c r="I69" i="1"/>
  <c r="J69" i="1" s="1"/>
  <c r="I62" i="1"/>
  <c r="S62" i="1" s="1"/>
  <c r="T62" i="1" s="1"/>
  <c r="J52" i="1"/>
  <c r="S52" i="1"/>
  <c r="J55" i="1"/>
  <c r="J36" i="1"/>
  <c r="S36" i="1"/>
  <c r="S61" i="1"/>
  <c r="J14" i="1"/>
  <c r="J45" i="1"/>
  <c r="S45" i="1"/>
  <c r="S23" i="1"/>
  <c r="J50" i="1"/>
  <c r="S50" i="1"/>
  <c r="I60" i="1"/>
  <c r="S60" i="1" s="1"/>
  <c r="T60" i="1" s="1"/>
  <c r="I24" i="1"/>
  <c r="S24" i="1" s="1"/>
  <c r="I64" i="1"/>
  <c r="S64" i="1" s="1"/>
  <c r="N6" i="1"/>
  <c r="S6" i="1"/>
  <c r="S34" i="1"/>
  <c r="T34" i="1" s="1"/>
  <c r="J18" i="1"/>
  <c r="O15" i="1"/>
  <c r="T45" i="1"/>
  <c r="K15" i="1"/>
  <c r="M15" i="1" s="1"/>
  <c r="N15" i="1" s="1"/>
  <c r="G3" i="5"/>
  <c r="G4" i="5" s="1"/>
  <c r="T36" i="1"/>
  <c r="T49" i="1"/>
  <c r="T37" i="1"/>
  <c r="T6" i="1"/>
  <c r="G66" i="1"/>
  <c r="T13" i="1"/>
  <c r="T42" i="1"/>
  <c r="T68" i="1"/>
  <c r="M21" i="1"/>
  <c r="N21" i="1" s="1"/>
  <c r="T14" i="1"/>
  <c r="T50" i="1"/>
  <c r="H3" i="5"/>
  <c r="T39" i="1"/>
  <c r="T22" i="1"/>
  <c r="G15" i="1"/>
  <c r="T25" i="1"/>
  <c r="T35" i="1"/>
  <c r="T24" i="1"/>
  <c r="T59" i="1"/>
  <c r="T64" i="1"/>
  <c r="T51" i="1"/>
  <c r="T61" i="1"/>
  <c r="T12" i="1"/>
  <c r="T52" i="1"/>
  <c r="T29" i="1"/>
  <c r="G41" i="1"/>
  <c r="K31" i="1"/>
  <c r="M31" i="1" s="1"/>
  <c r="N31" i="1" s="1"/>
  <c r="M33" i="1"/>
  <c r="N33" i="1" s="1"/>
  <c r="Q7" i="1"/>
  <c r="R7" i="1" s="1"/>
  <c r="O41" i="1"/>
  <c r="Q41" i="1" s="1"/>
  <c r="R41" i="1" s="1"/>
  <c r="G31" i="1"/>
  <c r="Q23" i="1"/>
  <c r="R23" i="1" s="1"/>
  <c r="J23" i="1"/>
  <c r="Q33" i="1"/>
  <c r="R33" i="1" s="1"/>
  <c r="J58" i="1"/>
  <c r="I46" i="1"/>
  <c r="O66" i="1"/>
  <c r="Q66" i="1" s="1"/>
  <c r="R66" i="1" s="1"/>
  <c r="M58" i="1"/>
  <c r="N58" i="1" s="1"/>
  <c r="K41" i="1"/>
  <c r="M41" i="1" s="1"/>
  <c r="N41" i="1" s="1"/>
  <c r="K66" i="1"/>
  <c r="K67" i="1" s="1"/>
  <c r="O31" i="1"/>
  <c r="Q31" i="1" s="1"/>
  <c r="R31" i="1" s="1"/>
  <c r="M23" i="1"/>
  <c r="N23" i="1" s="1"/>
  <c r="I33" i="1"/>
  <c r="Q58" i="1"/>
  <c r="R58" i="1" s="1"/>
  <c r="M7" i="1"/>
  <c r="M53" i="1"/>
  <c r="N53" i="1" s="1"/>
  <c r="G43" i="1"/>
  <c r="J21" i="1"/>
  <c r="R62" i="1"/>
  <c r="M43" i="1"/>
  <c r="N43" i="1" s="1"/>
  <c r="Q53" i="1"/>
  <c r="R53" i="1" s="1"/>
  <c r="K54" i="1"/>
  <c r="J53" i="1"/>
  <c r="T48" i="1"/>
  <c r="M40" i="1"/>
  <c r="N40" i="1" s="1"/>
  <c r="Q46" i="1"/>
  <c r="R46" i="1" s="1"/>
  <c r="Q30" i="1"/>
  <c r="R30" i="1" s="1"/>
  <c r="Q65" i="1"/>
  <c r="R65" i="1" s="1"/>
  <c r="I30" i="1"/>
  <c r="J65" i="1"/>
  <c r="Q21" i="1"/>
  <c r="R21" i="1" s="1"/>
  <c r="O43" i="1"/>
  <c r="Q40" i="1"/>
  <c r="R40" i="1" s="1"/>
  <c r="I40" i="1"/>
  <c r="M46" i="1"/>
  <c r="M30" i="1"/>
  <c r="N30" i="1" s="1"/>
  <c r="M65" i="1"/>
  <c r="N65" i="1" s="1"/>
  <c r="Q15" i="1"/>
  <c r="R15" i="1" s="1"/>
  <c r="N7" i="1" l="1"/>
  <c r="S7" i="1"/>
  <c r="G67" i="1"/>
  <c r="I66" i="1"/>
  <c r="S66" i="1" s="1"/>
  <c r="T66" i="1" s="1"/>
  <c r="K70" i="1"/>
  <c r="S53" i="1"/>
  <c r="J11" i="1"/>
  <c r="J63" i="1"/>
  <c r="J40" i="1"/>
  <c r="S40" i="1"/>
  <c r="J33" i="1"/>
  <c r="S33" i="1"/>
  <c r="I31" i="1"/>
  <c r="S31" i="1" s="1"/>
  <c r="S69" i="1"/>
  <c r="T69" i="1" s="1"/>
  <c r="J9" i="1"/>
  <c r="J26" i="1"/>
  <c r="S65" i="1"/>
  <c r="T65" i="1" s="1"/>
  <c r="J46" i="1"/>
  <c r="S46" i="1"/>
  <c r="I15" i="1"/>
  <c r="S15" i="1" s="1"/>
  <c r="J64" i="1"/>
  <c r="J60" i="1"/>
  <c r="J62" i="1"/>
  <c r="J12" i="1"/>
  <c r="J30" i="1"/>
  <c r="S30" i="1"/>
  <c r="O67" i="1"/>
  <c r="Q67" i="1" s="1"/>
  <c r="J41" i="1"/>
  <c r="I41" i="1"/>
  <c r="S41" i="1" s="1"/>
  <c r="J24" i="1"/>
  <c r="S58" i="1"/>
  <c r="S21" i="1"/>
  <c r="J10" i="1"/>
  <c r="J37" i="1"/>
  <c r="M66" i="1"/>
  <c r="N66" i="1" s="1"/>
  <c r="J66" i="1"/>
  <c r="T23" i="1"/>
  <c r="T7" i="1"/>
  <c r="T33" i="1"/>
  <c r="T58" i="1"/>
  <c r="Q43" i="1"/>
  <c r="R43" i="1" s="1"/>
  <c r="O54" i="1"/>
  <c r="T40" i="1"/>
  <c r="M54" i="1"/>
  <c r="N54" i="1" s="1"/>
  <c r="N46" i="1"/>
  <c r="T46" i="1"/>
  <c r="T53" i="1"/>
  <c r="M67" i="1"/>
  <c r="T21" i="1"/>
  <c r="T30" i="1"/>
  <c r="I43" i="1"/>
  <c r="G54" i="1"/>
  <c r="I54" i="1" s="1"/>
  <c r="I67" i="1" l="1"/>
  <c r="G70" i="1"/>
  <c r="S54" i="1"/>
  <c r="J43" i="1"/>
  <c r="S43" i="1"/>
  <c r="J15" i="1"/>
  <c r="O70" i="1"/>
  <c r="J31" i="1"/>
  <c r="T15" i="1"/>
  <c r="T43" i="1"/>
  <c r="T41" i="1"/>
  <c r="Q54" i="1"/>
  <c r="R54" i="1" s="1"/>
  <c r="N67" i="1"/>
  <c r="N70" i="1" s="1"/>
  <c r="M70" i="1"/>
  <c r="R67" i="1"/>
  <c r="T31" i="1"/>
  <c r="S67" i="1" l="1"/>
  <c r="T67" i="1" s="1"/>
  <c r="I70" i="1"/>
  <c r="J67" i="1"/>
  <c r="Q70" i="1"/>
  <c r="R70" i="1"/>
  <c r="J54" i="1"/>
  <c r="J70" i="1" l="1"/>
  <c r="S70" i="1"/>
  <c r="N73" i="1"/>
  <c r="G73" i="1"/>
  <c r="T54" i="1"/>
  <c r="M75" i="1"/>
  <c r="I74" i="1" l="1"/>
  <c r="I75" i="1"/>
  <c r="S78" i="1"/>
  <c r="S71" i="1"/>
  <c r="S72" i="1"/>
  <c r="I73" i="1"/>
  <c r="N75" i="1"/>
  <c r="N74" i="1"/>
  <c r="M73" i="1"/>
  <c r="M74" i="1"/>
  <c r="J74" i="1"/>
  <c r="T70" i="1"/>
  <c r="S77" i="1" l="1"/>
  <c r="I76" i="1"/>
  <c r="R75" i="1"/>
  <c r="R74" i="1"/>
  <c r="R73" i="1"/>
  <c r="T71" i="1"/>
  <c r="Q73" i="1"/>
  <c r="S73" i="1" s="1"/>
  <c r="Q75" i="1"/>
  <c r="S75" i="1" s="1"/>
  <c r="Q74" i="1"/>
  <c r="S74" i="1" s="1"/>
  <c r="M76" i="1"/>
  <c r="M79" i="1" s="1"/>
  <c r="M80" i="1" s="1"/>
  <c r="N76" i="1"/>
  <c r="J73" i="1"/>
  <c r="J75" i="1"/>
  <c r="T72" i="1"/>
  <c r="O75" i="1"/>
  <c r="O74" i="1"/>
  <c r="O73" i="1"/>
  <c r="K75" i="1"/>
  <c r="K73" i="1"/>
  <c r="K74" i="1"/>
  <c r="N79" i="1" l="1"/>
  <c r="N80" i="1" s="1"/>
  <c r="M82" i="1" s="1"/>
  <c r="I79" i="1"/>
  <c r="R76" i="1"/>
  <c r="R79" i="1" s="1"/>
  <c r="R80" i="1" s="1"/>
  <c r="Q82" i="1" s="1"/>
  <c r="Q76" i="1"/>
  <c r="Q79" i="1" s="1"/>
  <c r="Q80" i="1" s="1"/>
  <c r="J76" i="1"/>
  <c r="J79" i="1" s="1"/>
  <c r="G74" i="1"/>
  <c r="G75" i="1"/>
  <c r="T77" i="1"/>
  <c r="O76" i="1"/>
  <c r="K76" i="1"/>
  <c r="J80" i="1" l="1"/>
  <c r="I82" i="1" s="1"/>
  <c r="S79" i="1"/>
  <c r="I80" i="1"/>
  <c r="S80" i="1" s="1"/>
  <c r="T80" i="1" s="1"/>
  <c r="S76" i="1"/>
  <c r="T74" i="1"/>
  <c r="T75" i="1"/>
  <c r="K79" i="1"/>
  <c r="G76" i="1"/>
  <c r="G79" i="1" s="1"/>
  <c r="G80" i="1" s="1"/>
  <c r="H71" i="1" s="1"/>
  <c r="T78" i="1"/>
  <c r="O79" i="1"/>
  <c r="H70" i="1" l="1"/>
  <c r="H54" i="1"/>
  <c r="K80" i="1"/>
  <c r="L77" i="1" s="1"/>
  <c r="T73" i="1"/>
  <c r="O80" i="1"/>
  <c r="P77" i="1" s="1"/>
  <c r="H68" i="1" l="1"/>
  <c r="O4" i="2"/>
  <c r="P4" i="2" s="1"/>
  <c r="P80" i="1"/>
  <c r="P13" i="1"/>
  <c r="P29" i="1"/>
  <c r="P8" i="1"/>
  <c r="P24" i="1"/>
  <c r="P26" i="1"/>
  <c r="P16" i="1"/>
  <c r="P69" i="1"/>
  <c r="P47" i="1"/>
  <c r="P6" i="1"/>
  <c r="P59" i="1"/>
  <c r="P27" i="1"/>
  <c r="P68" i="1"/>
  <c r="P20" i="1"/>
  <c r="P9" i="1"/>
  <c r="P25" i="1"/>
  <c r="P61" i="1"/>
  <c r="P44" i="1"/>
  <c r="P17" i="1"/>
  <c r="P37" i="1"/>
  <c r="P64" i="1"/>
  <c r="P57" i="1"/>
  <c r="P50" i="1"/>
  <c r="P55" i="1"/>
  <c r="P49" i="1"/>
  <c r="P45" i="1"/>
  <c r="P14" i="1"/>
  <c r="P38" i="1"/>
  <c r="P52" i="1"/>
  <c r="P22" i="1"/>
  <c r="P60" i="1"/>
  <c r="P42" i="1"/>
  <c r="P19" i="1"/>
  <c r="P39" i="1"/>
  <c r="P18" i="1"/>
  <c r="P62" i="1"/>
  <c r="P11" i="1"/>
  <c r="P10" i="1"/>
  <c r="P12" i="1"/>
  <c r="P28" i="1"/>
  <c r="P34" i="1"/>
  <c r="P48" i="1"/>
  <c r="P51" i="1"/>
  <c r="P36" i="1"/>
  <c r="P63" i="1"/>
  <c r="P32" i="1"/>
  <c r="P35" i="1"/>
  <c r="P56" i="1"/>
  <c r="P53" i="1"/>
  <c r="P40" i="1"/>
  <c r="P7" i="1"/>
  <c r="P33" i="1"/>
  <c r="P15" i="1"/>
  <c r="P21" i="1"/>
  <c r="P46" i="1"/>
  <c r="P65" i="1"/>
  <c r="P23" i="1"/>
  <c r="P30" i="1"/>
  <c r="P58" i="1"/>
  <c r="P43" i="1"/>
  <c r="P67" i="1"/>
  <c r="P31" i="1"/>
  <c r="P41" i="1"/>
  <c r="P66" i="1"/>
  <c r="P70" i="1"/>
  <c r="P54" i="1"/>
  <c r="P71" i="1"/>
  <c r="P72" i="1"/>
  <c r="P78" i="1"/>
  <c r="P74" i="1"/>
  <c r="P75" i="1"/>
  <c r="P73" i="1"/>
  <c r="P76" i="1"/>
  <c r="P79" i="1"/>
  <c r="J4" i="2"/>
  <c r="K4" i="2" s="1"/>
  <c r="L80" i="1"/>
  <c r="L11" i="1"/>
  <c r="L25" i="1"/>
  <c r="L19" i="1"/>
  <c r="L63" i="1"/>
  <c r="L37" i="1"/>
  <c r="L49" i="1"/>
  <c r="L20" i="1"/>
  <c r="L16" i="1"/>
  <c r="L61" i="1"/>
  <c r="L32" i="1"/>
  <c r="L17" i="1"/>
  <c r="L38" i="1"/>
  <c r="L59" i="1"/>
  <c r="L18" i="1"/>
  <c r="L62" i="1"/>
  <c r="L6" i="1"/>
  <c r="L68" i="1"/>
  <c r="L52" i="1"/>
  <c r="L39" i="1"/>
  <c r="L51" i="1"/>
  <c r="L64" i="1"/>
  <c r="L13" i="1"/>
  <c r="L12" i="1"/>
  <c r="L14" i="1"/>
  <c r="L28" i="1"/>
  <c r="L34" i="1"/>
  <c r="L44" i="1"/>
  <c r="L56" i="1"/>
  <c r="L57" i="1"/>
  <c r="L36" i="1"/>
  <c r="L48" i="1"/>
  <c r="L55" i="1"/>
  <c r="L35" i="1"/>
  <c r="L69" i="1"/>
  <c r="L47" i="1"/>
  <c r="L60" i="1"/>
  <c r="L9" i="1"/>
  <c r="L8" i="1"/>
  <c r="L29" i="1"/>
  <c r="L10" i="1"/>
  <c r="L24" i="1"/>
  <c r="L26" i="1"/>
  <c r="L50" i="1"/>
  <c r="L22" i="1"/>
  <c r="L42" i="1"/>
  <c r="L27" i="1"/>
  <c r="L45" i="1"/>
  <c r="L15" i="1"/>
  <c r="L21" i="1"/>
  <c r="L53" i="1"/>
  <c r="L40" i="1"/>
  <c r="L65" i="1"/>
  <c r="L58" i="1"/>
  <c r="L23" i="1"/>
  <c r="L7" i="1"/>
  <c r="L30" i="1"/>
  <c r="L33" i="1"/>
  <c r="L43" i="1"/>
  <c r="L46" i="1"/>
  <c r="L67" i="1"/>
  <c r="L66" i="1"/>
  <c r="L54" i="1"/>
  <c r="L41" i="1"/>
  <c r="L31" i="1"/>
  <c r="L70" i="1"/>
  <c r="L71" i="1"/>
  <c r="L72" i="1"/>
  <c r="L78" i="1"/>
  <c r="L74" i="1"/>
  <c r="L73" i="1"/>
  <c r="L75" i="1"/>
  <c r="L76" i="1"/>
  <c r="L79" i="1"/>
  <c r="T76" i="1"/>
  <c r="H79" i="1" l="1"/>
  <c r="T79" i="1"/>
  <c r="E4" i="2"/>
  <c r="F4" i="2" s="1"/>
  <c r="T4" i="2" s="1"/>
  <c r="H80" i="1"/>
  <c r="H9" i="1"/>
  <c r="H38" i="1"/>
  <c r="H47" i="1"/>
  <c r="H59" i="1"/>
  <c r="H22" i="1"/>
  <c r="H17" i="1"/>
  <c r="H29" i="1"/>
  <c r="H50" i="1"/>
  <c r="H62" i="1"/>
  <c r="H42" i="1"/>
  <c r="H39" i="1"/>
  <c r="H18" i="1"/>
  <c r="H14" i="1"/>
  <c r="H34" i="1"/>
  <c r="H16" i="1"/>
  <c r="H25" i="1"/>
  <c r="H56" i="1"/>
  <c r="H36" i="1"/>
  <c r="H49" i="1"/>
  <c r="H61" i="1"/>
  <c r="H32" i="1"/>
  <c r="H35" i="1"/>
  <c r="H48" i="1"/>
  <c r="H64" i="1"/>
  <c r="H45" i="1"/>
  <c r="H10" i="1"/>
  <c r="H12" i="1"/>
  <c r="H26" i="1"/>
  <c r="H69" i="1"/>
  <c r="H6" i="1"/>
  <c r="H28" i="1"/>
  <c r="H19" i="1"/>
  <c r="H27" i="1"/>
  <c r="H11" i="1"/>
  <c r="H13" i="1"/>
  <c r="H8" i="1"/>
  <c r="H51" i="1"/>
  <c r="H63" i="1"/>
  <c r="H44" i="1"/>
  <c r="H37" i="1"/>
  <c r="H57" i="1"/>
  <c r="H24" i="1"/>
  <c r="H55" i="1"/>
  <c r="H52" i="1"/>
  <c r="H60" i="1"/>
  <c r="H20" i="1"/>
  <c r="H67" i="1"/>
  <c r="H21" i="1"/>
  <c r="H40" i="1"/>
  <c r="H33" i="1"/>
  <c r="H15" i="1"/>
  <c r="H53" i="1"/>
  <c r="H66" i="1"/>
  <c r="H65" i="1"/>
  <c r="H30" i="1"/>
  <c r="H23" i="1"/>
  <c r="H58" i="1"/>
  <c r="H46" i="1"/>
  <c r="H7" i="1"/>
  <c r="H31" i="1"/>
  <c r="H43" i="1"/>
  <c r="H41" i="1"/>
  <c r="H72" i="1"/>
  <c r="H77" i="1"/>
  <c r="H78" i="1"/>
  <c r="H74" i="1"/>
  <c r="H75" i="1"/>
  <c r="H73" i="1"/>
  <c r="H76" i="1"/>
  <c r="K5" i="2"/>
  <c r="L4" i="2"/>
  <c r="L5" i="2" s="1"/>
  <c r="Q4" i="2"/>
  <c r="Q5" i="2" s="1"/>
  <c r="P5" i="2"/>
  <c r="U76" i="1" l="1"/>
  <c r="F5" i="2"/>
  <c r="G4" i="2"/>
  <c r="G5" i="2" s="1"/>
  <c r="U68" i="1"/>
  <c r="U8" i="1"/>
  <c r="U42" i="1"/>
  <c r="U52" i="1"/>
  <c r="U57" i="1"/>
  <c r="U50" i="1"/>
  <c r="U28" i="1"/>
  <c r="U49" i="1"/>
  <c r="U18" i="1"/>
  <c r="U27" i="1"/>
  <c r="U60" i="1"/>
  <c r="U21" i="1"/>
  <c r="U65" i="1"/>
  <c r="U23" i="1"/>
  <c r="U30" i="1"/>
  <c r="U54" i="1"/>
  <c r="U77" i="1"/>
  <c r="U6" i="1"/>
  <c r="U74" i="1" l="1"/>
  <c r="U72" i="1"/>
  <c r="U43" i="1"/>
  <c r="U67" i="1"/>
  <c r="U40" i="1"/>
  <c r="U53" i="1"/>
  <c r="U62" i="1"/>
  <c r="U13" i="1"/>
  <c r="U38" i="1"/>
  <c r="U61" i="1"/>
  <c r="U10" i="1"/>
  <c r="U44" i="1"/>
  <c r="U26" i="1"/>
  <c r="U64" i="1"/>
  <c r="U59" i="1"/>
  <c r="U55" i="1"/>
  <c r="U17" i="1"/>
  <c r="U39" i="1"/>
  <c r="U78" i="1"/>
  <c r="U71" i="1"/>
  <c r="U41" i="1"/>
  <c r="U46" i="1"/>
  <c r="U66" i="1"/>
  <c r="U58" i="1"/>
  <c r="U48" i="1"/>
  <c r="U12" i="1"/>
  <c r="U51" i="1"/>
  <c r="U19" i="1"/>
  <c r="U9" i="1"/>
  <c r="U25" i="1"/>
  <c r="U11" i="1"/>
  <c r="U16" i="1"/>
  <c r="U47" i="1"/>
  <c r="U34" i="1"/>
  <c r="U24" i="1"/>
  <c r="U29" i="1"/>
  <c r="U73" i="1"/>
  <c r="U75" i="1"/>
  <c r="U70" i="1"/>
  <c r="U31" i="1"/>
  <c r="U15" i="1"/>
  <c r="U7" i="1"/>
  <c r="U33" i="1"/>
  <c r="U69" i="1"/>
  <c r="U14" i="1"/>
  <c r="U45" i="1"/>
  <c r="U63" i="1"/>
  <c r="U36" i="1"/>
  <c r="U37" i="1"/>
  <c r="U22" i="1"/>
  <c r="U35" i="1"/>
  <c r="U32" i="1"/>
  <c r="U20" i="1"/>
  <c r="U56" i="1"/>
  <c r="U80" i="1"/>
  <c r="U79" i="1"/>
  <c r="U4" i="2"/>
  <c r="U5" i="2" s="1"/>
  <c r="V4" i="2"/>
  <c r="V5" i="2" s="1"/>
  <c r="T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Vieira Ribeiro</author>
  </authors>
  <commentList>
    <comment ref="I4" authorId="0" shapeId="0" xr:uid="{00000000-0006-0000-0000-000001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Sindiserviços/DF.
</t>
        </r>
      </text>
    </comment>
    <comment ref="M4" authorId="0" shapeId="0" xr:uid="{00000000-0006-0000-0000-000002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SISDF. 
</t>
        </r>
      </text>
    </comment>
    <comment ref="Q4" authorId="0" shapeId="0" xr:uid="{00000000-0006-0000-0000-000003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 </t>
        </r>
      </text>
    </comment>
    <comment ref="E6" authorId="0" shapeId="0" xr:uid="{00000000-0006-0000-0000-000004000000}">
      <text>
        <r>
          <rPr>
            <b/>
            <sz val="10"/>
            <color rgb="FF000000"/>
            <rFont val="Tahoma"/>
            <family val="2"/>
          </rPr>
          <t xml:space="preserve">Fábio Vieira Ribeio
</t>
        </r>
        <r>
          <rPr>
            <sz val="10"/>
            <color rgb="FF000000"/>
            <rFont val="Tahoma"/>
            <family val="2"/>
          </rPr>
          <t xml:space="preserve">Considerado prazo de execução de 28 meses de execução dos serviços e 60 dias de férias no periodo. </t>
        </r>
      </text>
    </comment>
    <comment ref="D7" authorId="0" shapeId="0" xr:uid="{00000000-0006-0000-0000-00000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8.036/1990.</t>
        </r>
      </text>
    </comment>
    <comment ref="D8" authorId="0" shapeId="0" xr:uid="{00000000-0006-0000-0000-000006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</t>
        </r>
      </text>
    </comment>
    <comment ref="D9" authorId="0" shapeId="0" xr:uid="{00000000-0006-0000-0000-000007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 </t>
        </r>
      </text>
    </comment>
    <comment ref="D10" authorId="0" shapeId="0" xr:uid="{00000000-0006-0000-0000-000008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1" authorId="0" shapeId="0" xr:uid="{00000000-0006-0000-0000-000009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2" authorId="0" shapeId="0" xr:uid="{00000000-0006-0000-0000-00000A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3" authorId="0" shapeId="0" xr:uid="{00000000-0006-0000-0000-00000B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4" authorId="0" shapeId="0" xr:uid="{00000000-0006-0000-0000-00000C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CNAE.</t>
        </r>
      </text>
    </comment>
    <comment ref="B16" authorId="0" shapeId="0" xr:uid="{00000000-0006-0000-0000-00000D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Valores das CCT 2020 SEAC/DF x Sindiserviços/DF e CCT 2020 SEAC/DF x SISDF.</t>
        </r>
      </text>
    </comment>
    <comment ref="E17" authorId="0" shapeId="0" xr:uid="{00000000-0006-0000-0000-00000E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diário.</t>
        </r>
      </text>
    </comment>
    <comment ref="E19" authorId="0" shapeId="0" xr:uid="{00000000-0006-0000-0000-00000F000000}">
      <text>
        <r>
          <rPr>
            <b/>
            <sz val="10"/>
            <color rgb="FF000000"/>
            <rFont val="Tahoma"/>
            <family val="2"/>
          </rPr>
          <t xml:space="preserve">Fábio Vieira Ribeiro
</t>
        </r>
        <r>
          <rPr>
            <sz val="10"/>
            <color rgb="FF000000"/>
            <rFont val="Tahoma"/>
            <family val="2"/>
          </rPr>
          <t>Valor da CCT 2020 SEAC/DF x Sindiserviços/DF.</t>
        </r>
      </text>
    </comment>
    <comment ref="F19" authorId="0" shapeId="0" xr:uid="{00000000-0006-0000-0000-000010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da CCT 2020 SEAC/DF x SISDF.
</t>
        </r>
      </text>
    </comment>
    <comment ref="D20" authorId="0" shapeId="0" xr:uid="{00000000-0006-0000-0000-000011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conforme Decreto no 40.381/2020, do DF, e percentuais da nota do GDF "REAJUSTE DO TRANSPORTE PÚBLICO: ENTENDA CADA TARIFA" (http://www.brasilia.df.gov.br/reajuste-do-transporte-publico-entenda-cada-tarifa/).</t>
        </r>
      </text>
    </comment>
    <comment ref="E20" authorId="0" shapeId="0" xr:uid="{00000000-0006-0000-0000-000012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diário para cada passagem.
</t>
        </r>
      </text>
    </comment>
    <comment ref="B22" authorId="0" shapeId="0" xr:uid="{00000000-0006-0000-0000-000013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Observado o prazo de execução dos serviços de 28 meses, considerada a quantidade de 70 dias de férias no período.</t>
        </r>
      </text>
    </comment>
    <comment ref="B42" authorId="0" shapeId="0" xr:uid="{00000000-0006-0000-0000-000014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Considerada a necessidade se substituição de empregado alocado ausente por período superior a 3 dias, no caso do serviço de recepção, ou 15 dias, nos casos de serviços de apoio administrativo e secretariado, sendo estabelecidas as estimativas de 28,1028 e 26,6339 dias de ausências anuais que necessitarão substituição, respectivamente, tendo como base os parâmetros do Estudo sobre a Composição dos Custos dos Valores Limites Serviços de Limpeza e Conservação - Distrito Federal - 2019, que na página 20 apresenta o quadro "Memória de Cálculo - Número de dias de reposição do profissional ausente para cada evento".</t>
        </r>
      </text>
    </comment>
    <comment ref="B55" authorId="0" shapeId="0" xr:uid="{00000000-0006-0000-0000-00001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Considerada a necessidade rescisão sem justa causa do contrato de trabalho de 85,43% dos empregados alocados, sendo 21,36% com indenização de aviso prévio, estimado em 33 dias, tendo como base os parâmetros do Estudo sobre a Composição dos Custos dos Valores Limites Serviços de Limpeza e Conservação - Distrito Federal - 2019, que na página 36 apresenta o quadro "Percentuais por Tipo de Desligamento". </t>
        </r>
      </text>
    </comment>
    <comment ref="E68" authorId="0" shapeId="0" xr:uid="{00000000-0006-0000-0000-000016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de 1 uniforme, correspondente à média dos valores de cada jogo de uniforme dos contratos vigentes menos 1 desvio padrão ajustada em 3,2% (reajuste CCT 2020/2020), considerado o prazo de execução dos serviços e as CCT 2020/2020 firmadas entre o SEAC/DF e o Sindiserviços e o SEAC/DF e o SISDF, sendo que a primeira prevê 2 jogos de unformes no início da alocação do empregado e 1 jogo completo a cada 6 meses (6 no total) e a segunda prevê 2 jogos no início e 2 jogos a cada 6 meses (10 no total). </t>
        </r>
      </text>
    </comment>
    <comment ref="E71" authorId="0" shapeId="0" xr:uid="{00000000-0006-0000-0000-000017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Correspondente à média dos contratos vigentes.</t>
        </r>
      </text>
    </comment>
    <comment ref="E73" authorId="0" shapeId="0" xr:uid="{00000000-0006-0000-0000-000018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Adotando-se a sistemática de cálculo "por dentro", a Base Tributos considera os custos com os empregados, os custos indiretos e o lucro, observadas as disposições da Lei </t>
        </r>
        <r>
          <rPr>
            <sz val="10"/>
            <color rgb="FF000000"/>
            <rFont val="Calibri"/>
            <family val="2"/>
          </rPr>
          <t>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</t>
        </r>
        <r>
          <rPr>
            <sz val="10"/>
            <color rgb="FF000000"/>
            <rFont val="Tahoma"/>
            <family val="2"/>
          </rPr>
          <t>10.833/2003.</t>
        </r>
      </text>
    </comment>
    <comment ref="E74" authorId="0" shapeId="0" xr:uid="{00000000-0006-0000-0000-000019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>Adotando-se a sistemática de cálculo "por dentro", a</t>
        </r>
        <r>
          <rPr>
            <sz val="10"/>
            <color rgb="FF000000"/>
            <rFont val="Calibri"/>
            <family val="2"/>
          </rPr>
          <t xml:space="preserve"> Base Tributos considera os custos com os empregados, os custos indiretos e o lucro, observadas as disposições da Decreto DF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25.508/2005. </t>
        </r>
      </text>
    </comment>
    <comment ref="E75" authorId="0" shapeId="0" xr:uid="{00000000-0006-0000-0000-00001A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 xml:space="preserve">Adotando-se a sistemática de cálculo "por dentro", </t>
        </r>
        <r>
          <rPr>
            <sz val="10"/>
            <color rgb="FF000000"/>
            <rFont val="Calibri"/>
            <family val="2"/>
          </rPr>
          <t>a</t>
        </r>
        <r>
          <rPr>
            <sz val="10"/>
            <color rgb="FF000000"/>
            <rFont val="Calibri"/>
            <family val="2"/>
          </rPr>
          <t xml:space="preserve"> Base Tributos considera os custos com os empregados, os custos indiretos e o lucro, observadas as disposições da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10.637/2002. 
</t>
        </r>
      </text>
    </comment>
    <comment ref="E77" authorId="0" shapeId="0" xr:uid="{00000000-0006-0000-0000-00001B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Correspondente à média dos contratos vigentes.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Vieira Ribeiro</author>
  </authors>
  <commentList>
    <comment ref="G4" authorId="0" shapeId="0" xr:uid="{00000000-0006-0000-0200-000001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Reajuste de 3,2% (CCT 2020/2020)</t>
        </r>
      </text>
    </comment>
  </commentList>
</comments>
</file>

<file path=xl/sharedStrings.xml><?xml version="1.0" encoding="utf-8"?>
<sst xmlns="http://schemas.openxmlformats.org/spreadsheetml/2006/main" count="454" uniqueCount="229">
  <si>
    <t>Descrição</t>
  </si>
  <si>
    <t>A</t>
  </si>
  <si>
    <t>Salário</t>
  </si>
  <si>
    <t>B</t>
  </si>
  <si>
    <t>C</t>
  </si>
  <si>
    <t>D</t>
  </si>
  <si>
    <t>E</t>
  </si>
  <si>
    <t>Subtotal</t>
  </si>
  <si>
    <t>F</t>
  </si>
  <si>
    <t>FGTS</t>
  </si>
  <si>
    <t>G</t>
  </si>
  <si>
    <t>H</t>
  </si>
  <si>
    <t>Previdência Social</t>
  </si>
  <si>
    <t>I</t>
  </si>
  <si>
    <t>Salário Educação</t>
  </si>
  <si>
    <t>J</t>
  </si>
  <si>
    <t>GIIL-RAT</t>
  </si>
  <si>
    <t>K</t>
  </si>
  <si>
    <t>L</t>
  </si>
  <si>
    <t>M</t>
  </si>
  <si>
    <t>N</t>
  </si>
  <si>
    <t>O</t>
  </si>
  <si>
    <t>Assistência Odontológica</t>
  </si>
  <si>
    <t>P</t>
  </si>
  <si>
    <t>Auxílio Alimentação</t>
  </si>
  <si>
    <t>Q</t>
  </si>
  <si>
    <t>Plano de Saúde</t>
  </si>
  <si>
    <t>R</t>
  </si>
  <si>
    <t>Seguro de Vida/Assistência Funeral</t>
  </si>
  <si>
    <t>Vale-transporte</t>
  </si>
  <si>
    <t>T</t>
  </si>
  <si>
    <t>U</t>
  </si>
  <si>
    <t>Rescisão de Contrato</t>
  </si>
  <si>
    <t>V</t>
  </si>
  <si>
    <t>W</t>
  </si>
  <si>
    <t>Y</t>
  </si>
  <si>
    <t>Recepcionista</t>
  </si>
  <si>
    <t>Secretário Executivo I</t>
  </si>
  <si>
    <t>Técnico em Secretariado</t>
  </si>
  <si>
    <t>13º Salário</t>
  </si>
  <si>
    <t>Aviso Prévio Indenizado</t>
  </si>
  <si>
    <t>Multa FGTS</t>
  </si>
  <si>
    <t>Z</t>
  </si>
  <si>
    <t>%</t>
  </si>
  <si>
    <t>13º Salário - Aviso Prévio Indenizado</t>
  </si>
  <si>
    <t>AA</t>
  </si>
  <si>
    <t>AB</t>
  </si>
  <si>
    <t>Grupo</t>
  </si>
  <si>
    <t>Benefícios</t>
  </si>
  <si>
    <t>Postos</t>
  </si>
  <si>
    <t>Total</t>
  </si>
  <si>
    <t>Uniforme</t>
  </si>
  <si>
    <t>AC</t>
  </si>
  <si>
    <t>AD</t>
  </si>
  <si>
    <t>Custos Indiretos</t>
  </si>
  <si>
    <t>AE</t>
  </si>
  <si>
    <t>AF</t>
  </si>
  <si>
    <t>AG</t>
  </si>
  <si>
    <t>AH</t>
  </si>
  <si>
    <t>AI</t>
  </si>
  <si>
    <t>COFINS</t>
  </si>
  <si>
    <t>PIS</t>
  </si>
  <si>
    <t>ISS</t>
  </si>
  <si>
    <t>AJ</t>
  </si>
  <si>
    <t>AK</t>
  </si>
  <si>
    <t>AL</t>
  </si>
  <si>
    <t>Lucro</t>
  </si>
  <si>
    <t>Total Geral</t>
  </si>
  <si>
    <t>CITL</t>
  </si>
  <si>
    <t>A*8%</t>
  </si>
  <si>
    <t>A*20%</t>
  </si>
  <si>
    <t>A*2,5%</t>
  </si>
  <si>
    <t>Férias</t>
  </si>
  <si>
    <t>Item</t>
  </si>
  <si>
    <t>Substituição Temporária</t>
  </si>
  <si>
    <t>Pagamento</t>
  </si>
  <si>
    <t>Fato Gerador</t>
  </si>
  <si>
    <t>AM</t>
  </si>
  <si>
    <t>AN</t>
  </si>
  <si>
    <t>Salário/12/28</t>
  </si>
  <si>
    <t>(Salário + Salário/3)/12/28</t>
  </si>
  <si>
    <t>Mensal</t>
  </si>
  <si>
    <t>Mensal e Fato Gerador</t>
  </si>
  <si>
    <t>AO</t>
  </si>
  <si>
    <t>AP</t>
  </si>
  <si>
    <t>Subtotal Custo Empregados</t>
  </si>
  <si>
    <t>AQ</t>
  </si>
  <si>
    <t>AR</t>
  </si>
  <si>
    <t>AS</t>
  </si>
  <si>
    <t>AT</t>
  </si>
  <si>
    <t>AU</t>
  </si>
  <si>
    <t>AV</t>
  </si>
  <si>
    <t>AW</t>
  </si>
  <si>
    <t>Subtotal CITL</t>
  </si>
  <si>
    <t>Lote</t>
  </si>
  <si>
    <t>Data Contratação</t>
  </si>
  <si>
    <t>INCRA</t>
  </si>
  <si>
    <t>PRF</t>
  </si>
  <si>
    <t>Salário/28*26</t>
  </si>
  <si>
    <t>Salário/30*70/28</t>
  </si>
  <si>
    <t>Parâmetros Cálculo Custo Mensal</t>
  </si>
  <si>
    <t>(Salário+Salário/3)/12/28</t>
  </si>
  <si>
    <t>Férias  - Aviso Prévio Indenizado</t>
  </si>
  <si>
    <t>((Salário/30*33)*21,36%)/28</t>
  </si>
  <si>
    <t>(Salário+Salário/3)/30*70/28</t>
  </si>
  <si>
    <t>AY</t>
  </si>
  <si>
    <t>AZ</t>
  </si>
  <si>
    <t>BA</t>
  </si>
  <si>
    <t>Valor (R$)</t>
  </si>
  <si>
    <t>-</t>
  </si>
  <si>
    <t>Quantidade</t>
  </si>
  <si>
    <t>SENAC</t>
  </si>
  <si>
    <t>SESC</t>
  </si>
  <si>
    <t>SEBRAE</t>
  </si>
  <si>
    <t>A*0,2%</t>
  </si>
  <si>
    <t>A*1%</t>
  </si>
  <si>
    <t>A*1,5%</t>
  </si>
  <si>
    <t>A*0,6%</t>
  </si>
  <si>
    <t>A+B+C+D+E+F+G+H+I</t>
  </si>
  <si>
    <t>K+L+M+N+O</t>
  </si>
  <si>
    <t>S</t>
  </si>
  <si>
    <t>Q*8%</t>
  </si>
  <si>
    <t>Q*20%</t>
  </si>
  <si>
    <t>Q*0,2%</t>
  </si>
  <si>
    <t>Q*1%</t>
  </si>
  <si>
    <t>Q*1,5%</t>
  </si>
  <si>
    <t>Q*0,6%</t>
  </si>
  <si>
    <t>Q*2,5%</t>
  </si>
  <si>
    <t>Q+R+S+T+U+U+V+W+Y+Z</t>
  </si>
  <si>
    <t>AB+AC+AD+AE+AF+AG+AH+AI+AJ</t>
  </si>
  <si>
    <t>AB*8%</t>
  </si>
  <si>
    <t>AB*20%</t>
  </si>
  <si>
    <t>AB*2,5%</t>
  </si>
  <si>
    <t>AB*O,2%</t>
  </si>
  <si>
    <t>AB*1%</t>
  </si>
  <si>
    <t>AB*1,5%</t>
  </si>
  <si>
    <t>AB*0,6%</t>
  </si>
  <si>
    <t>AL+AM+AN+AO+AP+AQ+AR+AS+AT+AU+AV+AW</t>
  </si>
  <si>
    <t>(AL+AN+AO)*8%</t>
  </si>
  <si>
    <t>(AL+AN+AO)*20%</t>
  </si>
  <si>
    <t>(AL+AN+AO)*O,2%</t>
  </si>
  <si>
    <t>(AL+AN+AO)*1%</t>
  </si>
  <si>
    <t>(AL+AN+AO)*1,5%</t>
  </si>
  <si>
    <t>(AL+AN+AO)*0,6%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</si>
  <si>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</si>
  <si>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</si>
  <si>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</si>
  <si>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</si>
  <si>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</si>
  <si>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</si>
  <si>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</si>
  <si>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</si>
  <si>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</si>
  <si>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</si>
  <si>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</si>
  <si>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AZ+BA+BB+BC+BD+BE+BF+BG+BH+BI+BJ+BK</t>
  </si>
  <si>
    <t>(AZ+BB)*8%</t>
  </si>
  <si>
    <t>(AZ+BB)*20%</t>
  </si>
  <si>
    <t>(AZ+BB)*2,5%</t>
  </si>
  <si>
    <t>(AZ+BB)*O,2%</t>
  </si>
  <si>
    <t>(AZ+BB)*1%</t>
  </si>
  <si>
    <t>(AZ+BB)*1,5%</t>
  </si>
  <si>
    <t>(AZ+BB)*0,6%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</si>
  <si>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</si>
  <si>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</si>
  <si>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</si>
  <si>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</si>
  <si>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</si>
  <si>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</si>
  <si>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</si>
  <si>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</si>
  <si>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</si>
  <si>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BV</t>
  </si>
  <si>
    <t>BQ+BR+BS</t>
  </si>
  <si>
    <t>Salário/30*((26,6339 ou 28,1028)*28/12)/28</t>
  </si>
  <si>
    <t>P/30*((26,6339 ou 28,1028)*28/12)/28</t>
  </si>
  <si>
    <t>Apoio Administrativo</t>
  </si>
  <si>
    <t>((B+R+AC+AP+BC)*40%)*85,43%</t>
  </si>
  <si>
    <t>Valor Uniforme</t>
  </si>
  <si>
    <t>Média</t>
  </si>
  <si>
    <t>Mediana</t>
  </si>
  <si>
    <t>Desvio Padrão</t>
  </si>
  <si>
    <t>Média - Desvio Padrão</t>
  </si>
  <si>
    <t>Mediana - Desvio Padrão</t>
  </si>
  <si>
    <t>Valor Mensal</t>
  </si>
  <si>
    <t>Serviço</t>
  </si>
  <si>
    <t>Recepção</t>
  </si>
  <si>
    <t>Secretariado</t>
  </si>
  <si>
    <t>Uniforme - Valores (R$)</t>
  </si>
  <si>
    <t>Órgão ou Entidade</t>
  </si>
  <si>
    <t>Valor do Posto (R$)</t>
  </si>
  <si>
    <t>Unidade</t>
  </si>
  <si>
    <t>Anual                      (12 meses)</t>
  </si>
  <si>
    <t>Total                       (28 meses)</t>
  </si>
  <si>
    <t>Subtotal Mensal (R$)</t>
  </si>
  <si>
    <t>Subtotal 28 Meses (R$)</t>
  </si>
  <si>
    <t>Posto</t>
  </si>
  <si>
    <t>Valor Mensal Unitário (R$)</t>
  </si>
  <si>
    <t>Valor Mensal Total (R$)</t>
  </si>
  <si>
    <t>Valor Total (R$)</t>
  </si>
  <si>
    <t>Valor  Total (R$)</t>
  </si>
  <si>
    <t>Base Tributos * 5,00%</t>
  </si>
  <si>
    <t>Planilha de Custos e Formação de Preços</t>
  </si>
  <si>
    <t xml:space="preserve">Sugere-se que a orientação da SEGES "Orientações sobre PIS e COFINS em contratações de prestação de serviços, com dedicação exclusiva de mão de obra", abaixo transcrita, disponível em https://www.gov.br/compras/pt-br/acesso-a-informacao/noticias/orientacoes-incidencia-nao-cumulativa-pis-cofins,  seja apresentada com uma nota do Quadro 8 do modelo de proposta, Anexo II do Edital. </t>
  </si>
  <si>
    <t>"Secretaria de Gestão orienta os órgãos e entidades integrantes do Sistema de Serviços Gerais (Sisg) sobre o aproveitamento de créditos tributários nas contratações de prestação de serviços continuados, com dedicação exclusiva de mão de obra, celebradas com empresas optantes pelo regime de lucro real (com direito à incidência não cumulativa de contribuições ao PIS e COFINS).
Na elaboração dos termos de referência e editais, os órgãos e entidades deverão exigir que os licitantes, quando tributados pelo regime de incidência não-cumulativa de PIS e COFINS, cotem na planilha de custos e formação de preços (que detalham os componentes dos seus custos) as alíquotas médias efetivamente recolhidas dessas contribuições.
Isso porque as empresas submetidas a tal regime, conforme normativos vigentes(1), podem realizar o abatimento de créditos apurados com base em custos, despesas e encargos, tais como insumos, aluguéis de máquinas e equipamentos, vale transporte, dentre outros, fazendo com que os valores dos tributos efetivamente recolhidos sejam inferiores às alíquotas de 1,65% (PIS) e 7,60% (COFINS).
Para a comprovação das alíquotas médias efetivas, poderão ser exigidos os documentos de Escrituração Fiscal Digital da Contribuição (EFD-Contribuições) para o PIS/PASEP e COFINS dos últimos 12 (doze) meses anteriores à apresentação da proposta, ou outro meio hábil, em que seja possível demonstrar as alíquotas médias efetivas.
A comprovação das alíquotas médias efetivas deverá ser feita no momento da repactuação ou da renovação contratual a fim de se promover os ajustes necessários decorrentes das oscilações dos custos efetivos de PIS e COFINS.</t>
  </si>
  <si>
    <t>Base Tributos * 0,88%</t>
  </si>
  <si>
    <t>Base Tributos * 0,20%</t>
  </si>
  <si>
    <t>Descrição do Uniforme</t>
  </si>
  <si>
    <t>Valor Unitário</t>
  </si>
  <si>
    <t>Camisa - Cor Branca, manga longa e tecido como o minimo de 50% de fibras naturais</t>
  </si>
  <si>
    <t>Sapato - Cor preto e de couro</t>
  </si>
  <si>
    <t>Meia - Cor preta e de tecido poliéster ou poliamida</t>
  </si>
  <si>
    <t>Valor total por empregado</t>
  </si>
  <si>
    <t>Valor mensal por empregado</t>
  </si>
  <si>
    <t>VALOR MÉDIO POR CONJUNTO</t>
  </si>
  <si>
    <t>(AL+AN+AO)*2,5%</t>
  </si>
  <si>
    <t>Quantidade total</t>
  </si>
  <si>
    <t>Valor total</t>
  </si>
  <si>
    <t>Calça ou Saia - Cor preta e tecido poliviscose</t>
  </si>
  <si>
    <t>UNIFORME ( SECRETARIA EXECUTIVO I, SECRETARIADO EXECUTIVO II E TÉCNICO EM SECRETARIADO)</t>
  </si>
  <si>
    <t>(AZ+BB)*2,0290%</t>
  </si>
  <si>
    <t>(AL+AN+AO)*2,0290%</t>
  </si>
  <si>
    <t>AB*2,0290%</t>
  </si>
  <si>
    <t>A*2,0290%</t>
  </si>
  <si>
    <t xml:space="preserve">Q*2,0290% </t>
  </si>
  <si>
    <t>BU = ( subtotal custo do Empregado +BP)</t>
  </si>
  <si>
    <t>(Subtotal Custo Empregados + BP) *Lucro</t>
  </si>
  <si>
    <t>Subtotal Custo Empregados * % De Custo Estimado pela Empresa (Variavel)</t>
  </si>
  <si>
    <t>UNIFORME ( AUXILIAR ADMINISTRATIVO, ASSISTENTE ADMNINISTRATIVO, RECEPCIONISTA E RECEPCIONISTA BILINGUE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</si>
</sst>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  <numFmt numFmtId="165" formatCode="0.0000"/>
    <numFmt numFmtId="166" formatCode="#,##0.0000_ ;[Red]\-#,##0.0000\ "/>
    <numFmt numFmtId="167" formatCode="dd/mm/yy;@"/>
  </numFmts>
  <fonts count="16" x14ac:knownFonts="1">
    <font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6"/>
      <color theme="1"/>
      <name val="Arial"/>
      <family val="2"/>
    </font>
    <font>
      <sz val="12"/>
      <color rgb="FF555555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198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0" fontId="8" fillId="0" borderId="0" xfId="0" applyFont="1"/>
    <xf numFmtId="4" fontId="8" fillId="0" borderId="0" xfId="0" applyNumberFormat="1" applyFont="1"/>
    <xf numFmtId="4" fontId="8" fillId="0" borderId="1" xfId="0" applyNumberFormat="1" applyFont="1" applyBorder="1"/>
    <xf numFmtId="0" fontId="7" fillId="3" borderId="1" xfId="0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4" fontId="9" fillId="4" borderId="1" xfId="0" applyNumberFormat="1" applyFont="1" applyFill="1" applyBorder="1" applyAlignment="1">
      <alignment horizontal="right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2" fillId="0" borderId="0" xfId="0" applyFont="1"/>
    <xf numFmtId="4" fontId="12" fillId="0" borderId="0" xfId="0" applyNumberFormat="1" applyFont="1"/>
    <xf numFmtId="167" fontId="12" fillId="0" borderId="0" xfId="0" applyNumberFormat="1" applyFont="1" applyAlignment="1">
      <alignment horizontal="center"/>
    </xf>
    <xf numFmtId="44" fontId="12" fillId="0" borderId="0" xfId="0" applyNumberFormat="1" applyFont="1"/>
    <xf numFmtId="3" fontId="12" fillId="0" borderId="0" xfId="0" applyNumberFormat="1" applyFont="1"/>
    <xf numFmtId="0" fontId="12" fillId="0" borderId="0" xfId="0" applyFont="1" applyAlignment="1">
      <alignment horizontal="right"/>
    </xf>
    <xf numFmtId="10" fontId="9" fillId="0" borderId="1" xfId="0" applyNumberFormat="1" applyFont="1" applyFill="1" applyBorder="1" applyAlignment="1">
      <alignment horizontal="right" vertical="center"/>
    </xf>
    <xf numFmtId="10" fontId="6" fillId="3" borderId="1" xfId="0" applyNumberFormat="1" applyFont="1" applyFill="1" applyBorder="1" applyAlignment="1">
      <alignment horizontal="right" vertical="center"/>
    </xf>
    <xf numFmtId="10" fontId="9" fillId="4" borderId="1" xfId="0" applyNumberFormat="1" applyFont="1" applyFill="1" applyBorder="1" applyAlignment="1">
      <alignment horizontal="right" vertical="center"/>
    </xf>
    <xf numFmtId="10" fontId="8" fillId="0" borderId="1" xfId="0" applyNumberFormat="1" applyFont="1" applyBorder="1" applyAlignment="1">
      <alignment vertical="center"/>
    </xf>
    <xf numFmtId="10" fontId="7" fillId="3" borderId="1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167" fontId="6" fillId="3" borderId="1" xfId="0" applyNumberFormat="1" applyFont="1" applyFill="1" applyBorder="1" applyAlignment="1">
      <alignment horizontal="center" vertical="center" textRotation="90" wrapText="1"/>
    </xf>
    <xf numFmtId="4" fontId="6" fillId="3" borderId="1" xfId="0" applyNumberFormat="1" applyFont="1" applyFill="1" applyBorder="1" applyAlignment="1">
      <alignment horizontal="center" vertical="center" wrapText="1"/>
    </xf>
    <xf numFmtId="167" fontId="9" fillId="4" borderId="1" xfId="0" applyNumberFormat="1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18" xfId="0" applyNumberFormat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/>
    </xf>
    <xf numFmtId="4" fontId="8" fillId="0" borderId="18" xfId="0" applyNumberFormat="1" applyFont="1" applyBorder="1"/>
    <xf numFmtId="0" fontId="8" fillId="0" borderId="17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/>
    </xf>
    <xf numFmtId="0" fontId="8" fillId="0" borderId="17" xfId="0" applyFont="1" applyBorder="1" applyAlignment="1">
      <alignment horizontal="left" wrapText="1"/>
    </xf>
    <xf numFmtId="44" fontId="8" fillId="0" borderId="0" xfId="1" applyFont="1" applyAlignment="1">
      <alignment vertical="center"/>
    </xf>
    <xf numFmtId="4" fontId="11" fillId="6" borderId="1" xfId="0" applyNumberFormat="1" applyFont="1" applyFill="1" applyBorder="1" applyAlignment="1">
      <alignment vertical="center"/>
    </xf>
    <xf numFmtId="10" fontId="11" fillId="6" borderId="1" xfId="0" applyNumberFormat="1" applyFont="1" applyFill="1" applyBorder="1" applyAlignment="1">
      <alignment vertical="center"/>
    </xf>
    <xf numFmtId="4" fontId="8" fillId="7" borderId="1" xfId="0" applyNumberFormat="1" applyFont="1" applyFill="1" applyBorder="1" applyAlignment="1">
      <alignment horizontal="right" vertical="center"/>
    </xf>
    <xf numFmtId="10" fontId="8" fillId="7" borderId="1" xfId="0" applyNumberFormat="1" applyFont="1" applyFill="1" applyBorder="1" applyAlignment="1">
      <alignment horizontal="right" vertical="center"/>
    </xf>
    <xf numFmtId="4" fontId="7" fillId="6" borderId="1" xfId="0" applyNumberFormat="1" applyFont="1" applyFill="1" applyBorder="1" applyAlignment="1">
      <alignment vertical="center"/>
    </xf>
    <xf numFmtId="10" fontId="7" fillId="6" borderId="1" xfId="0" applyNumberFormat="1" applyFont="1" applyFill="1" applyBorder="1" applyAlignment="1">
      <alignment vertical="center"/>
    </xf>
    <xf numFmtId="4" fontId="8" fillId="6" borderId="1" xfId="0" applyNumberFormat="1" applyFont="1" applyFill="1" applyBorder="1" applyAlignment="1">
      <alignment vertical="center"/>
    </xf>
    <xf numFmtId="10" fontId="8" fillId="6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10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4" fontId="7" fillId="8" borderId="1" xfId="0" applyNumberFormat="1" applyFont="1" applyFill="1" applyBorder="1" applyAlignment="1">
      <alignment vertical="center"/>
    </xf>
    <xf numFmtId="10" fontId="7" fillId="8" borderId="1" xfId="0" applyNumberFormat="1" applyFont="1" applyFill="1" applyBorder="1" applyAlignment="1">
      <alignment vertical="center"/>
    </xf>
    <xf numFmtId="4" fontId="8" fillId="8" borderId="1" xfId="0" applyNumberFormat="1" applyFont="1" applyFill="1" applyBorder="1" applyAlignment="1">
      <alignment vertical="center"/>
    </xf>
    <xf numFmtId="10" fontId="8" fillId="8" borderId="1" xfId="0" applyNumberFormat="1" applyFont="1" applyFill="1" applyBorder="1" applyAlignment="1">
      <alignment vertical="center"/>
    </xf>
    <xf numFmtId="4" fontId="11" fillId="8" borderId="1" xfId="0" applyNumberFormat="1" applyFont="1" applyFill="1" applyBorder="1" applyAlignment="1">
      <alignment vertical="center"/>
    </xf>
    <xf numFmtId="10" fontId="11" fillId="8" borderId="1" xfId="0" applyNumberFormat="1" applyFont="1" applyFill="1" applyBorder="1" applyAlignment="1">
      <alignment vertical="center"/>
    </xf>
    <xf numFmtId="4" fontId="8" fillId="9" borderId="1" xfId="0" applyNumberFormat="1" applyFont="1" applyFill="1" applyBorder="1" applyAlignment="1">
      <alignment horizontal="right" vertical="center"/>
    </xf>
    <xf numFmtId="10" fontId="8" fillId="9" borderId="1" xfId="0" applyNumberFormat="1" applyFont="1" applyFill="1" applyBorder="1" applyAlignment="1">
      <alignment horizontal="right" vertical="center"/>
    </xf>
    <xf numFmtId="4" fontId="8" fillId="10" borderId="1" xfId="0" applyNumberFormat="1" applyFont="1" applyFill="1" applyBorder="1" applyAlignment="1">
      <alignment horizontal="right" vertical="center"/>
    </xf>
    <xf numFmtId="10" fontId="8" fillId="10" borderId="1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/>
    </xf>
    <xf numFmtId="4" fontId="9" fillId="5" borderId="1" xfId="0" applyNumberFormat="1" applyFont="1" applyFill="1" applyBorder="1" applyAlignment="1">
      <alignment horizontal="right" vertical="center"/>
    </xf>
    <xf numFmtId="10" fontId="9" fillId="5" borderId="1" xfId="0" applyNumberFormat="1" applyFont="1" applyFill="1" applyBorder="1" applyAlignment="1">
      <alignment horizontal="right" vertical="center"/>
    </xf>
    <xf numFmtId="0" fontId="8" fillId="5" borderId="0" xfId="0" applyFont="1" applyFill="1" applyAlignment="1">
      <alignment vertical="center"/>
    </xf>
    <xf numFmtId="4" fontId="8" fillId="5" borderId="0" xfId="0" applyNumberFormat="1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4" fontId="8" fillId="5" borderId="1" xfId="0" applyNumberFormat="1" applyFont="1" applyFill="1" applyBorder="1" applyAlignment="1">
      <alignment vertical="center"/>
    </xf>
    <xf numFmtId="10" fontId="8" fillId="5" borderId="1" xfId="0" applyNumberFormat="1" applyFont="1" applyFill="1" applyBorder="1" applyAlignment="1">
      <alignment vertical="center"/>
    </xf>
    <xf numFmtId="0" fontId="8" fillId="5" borderId="17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/>
    </xf>
    <xf numFmtId="4" fontId="8" fillId="11" borderId="19" xfId="0" applyNumberFormat="1" applyFont="1" applyFill="1" applyBorder="1"/>
    <xf numFmtId="4" fontId="10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/>
    <xf numFmtId="44" fontId="15" fillId="0" borderId="0" xfId="1" applyFont="1" applyAlignment="1">
      <alignment vertical="center"/>
    </xf>
    <xf numFmtId="4" fontId="8" fillId="5" borderId="18" xfId="0" applyNumberFormat="1" applyFont="1" applyFill="1" applyBorder="1"/>
    <xf numFmtId="8" fontId="10" fillId="0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textRotation="90" wrapText="1"/>
    </xf>
    <xf numFmtId="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4" fontId="7" fillId="5" borderId="1" xfId="0" applyNumberFormat="1" applyFont="1" applyFill="1" applyBorder="1" applyAlignment="1">
      <alignment vertical="center"/>
    </xf>
    <xf numFmtId="10" fontId="7" fillId="5" borderId="1" xfId="0" applyNumberFormat="1" applyFont="1" applyFill="1" applyBorder="1" applyAlignment="1">
      <alignment vertical="center"/>
    </xf>
    <xf numFmtId="4" fontId="9" fillId="3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right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6" fontId="10" fillId="0" borderId="4" xfId="0" applyNumberFormat="1" applyFont="1" applyFill="1" applyBorder="1" applyAlignment="1">
      <alignment horizontal="center" vertical="center"/>
    </xf>
    <xf numFmtId="166" fontId="10" fillId="0" borderId="5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/>
    </xf>
    <xf numFmtId="9" fontId="10" fillId="0" borderId="5" xfId="0" applyNumberFormat="1" applyFont="1" applyFill="1" applyBorder="1" applyAlignment="1">
      <alignment horizontal="center" vertical="center"/>
    </xf>
    <xf numFmtId="10" fontId="10" fillId="0" borderId="4" xfId="0" applyNumberFormat="1" applyFont="1" applyFill="1" applyBorder="1" applyAlignment="1">
      <alignment horizontal="center" vertical="center"/>
    </xf>
    <xf numFmtId="10" fontId="10" fillId="0" borderId="5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0" fontId="10" fillId="12" borderId="4" xfId="0" applyNumberFormat="1" applyFont="1" applyFill="1" applyBorder="1" applyAlignment="1">
      <alignment horizontal="center" vertical="center" wrapText="1"/>
    </xf>
    <xf numFmtId="10" fontId="10" fillId="12" borderId="5" xfId="0" applyNumberFormat="1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8" fontId="10" fillId="5" borderId="4" xfId="0" applyNumberFormat="1" applyFont="1" applyFill="1" applyBorder="1" applyAlignment="1">
      <alignment horizontal="center" vertical="center"/>
    </xf>
    <xf numFmtId="8" fontId="10" fillId="0" borderId="4" xfId="0" applyNumberFormat="1" applyFont="1" applyFill="1" applyBorder="1" applyAlignment="1">
      <alignment horizontal="center" vertical="center"/>
    </xf>
    <xf numFmtId="8" fontId="10" fillId="0" borderId="5" xfId="0" applyNumberFormat="1" applyFont="1" applyFill="1" applyBorder="1" applyAlignment="1">
      <alignment horizontal="center" vertical="center"/>
    </xf>
    <xf numFmtId="10" fontId="10" fillId="12" borderId="4" xfId="0" applyNumberFormat="1" applyFont="1" applyFill="1" applyBorder="1" applyAlignment="1">
      <alignment horizontal="center" vertical="center"/>
    </xf>
    <xf numFmtId="10" fontId="10" fillId="12" borderId="5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textRotation="90" wrapText="1"/>
    </xf>
    <xf numFmtId="4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8" fillId="5" borderId="21" xfId="0" applyFont="1" applyFill="1" applyBorder="1" applyAlignment="1">
      <alignment horizontal="center"/>
    </xf>
    <xf numFmtId="0" fontId="8" fillId="5" borderId="22" xfId="0" applyFont="1" applyFill="1" applyBorder="1" applyAlignment="1">
      <alignment horizontal="center"/>
    </xf>
    <xf numFmtId="0" fontId="8" fillId="5" borderId="2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5" borderId="20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2"/>
  <sheetViews>
    <sheetView tabSelected="1" topLeftCell="F61" zoomScale="80" zoomScaleNormal="80" workbookViewId="0">
      <selection activeCell="R85" sqref="R85"/>
    </sheetView>
  </sheetViews>
  <sheetFormatPr defaultColWidth="10.75" defaultRowHeight="12.75" x14ac:dyDescent="0.25"/>
  <cols>
    <col min="1" max="2" width="11.75" style="1" customWidth="1"/>
    <col min="3" max="3" width="4.75" style="2" bestFit="1" customWidth="1"/>
    <col min="4" max="4" width="29.25" style="1" bestFit="1" customWidth="1"/>
    <col min="5" max="5" width="20.75" style="85" customWidth="1"/>
    <col min="6" max="6" width="16.375" style="85" customWidth="1"/>
    <col min="7" max="7" width="13.25" style="1" customWidth="1"/>
    <col min="8" max="8" width="8.25" style="33" customWidth="1"/>
    <col min="9" max="9" width="14.25" style="1" customWidth="1"/>
    <col min="10" max="10" width="13.75" style="1" customWidth="1"/>
    <col min="11" max="11" width="11.75" style="1" customWidth="1"/>
    <col min="12" max="12" width="8.25" style="33" customWidth="1"/>
    <col min="13" max="13" width="13.75" style="1" customWidth="1"/>
    <col min="14" max="14" width="13.25" style="1" bestFit="1" customWidth="1"/>
    <col min="15" max="15" width="11.75" style="1" customWidth="1"/>
    <col min="16" max="16" width="8.25" style="33" customWidth="1"/>
    <col min="17" max="17" width="14.25" style="1" customWidth="1"/>
    <col min="18" max="18" width="13.75" style="1" customWidth="1"/>
    <col min="19" max="19" width="12.75" style="3" bestFit="1" customWidth="1"/>
    <col min="20" max="20" width="15.25" style="3" bestFit="1" customWidth="1"/>
    <col min="21" max="21" width="8.25" style="33" customWidth="1"/>
    <col min="22" max="22" width="13" style="1" bestFit="1" customWidth="1"/>
    <col min="23" max="25" width="10.75" style="1"/>
    <col min="26" max="26" width="10.75" style="3"/>
    <col min="27" max="16384" width="10.75" style="1"/>
  </cols>
  <sheetData>
    <row r="1" spans="1:26" ht="16.149999999999999" customHeight="1" x14ac:dyDescent="0.25">
      <c r="A1" s="163" t="s">
        <v>202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</row>
    <row r="2" spans="1:26" ht="15" customHeight="1" x14ac:dyDescent="0.25">
      <c r="A2" s="130" t="s">
        <v>75</v>
      </c>
      <c r="B2" s="161" t="s">
        <v>47</v>
      </c>
      <c r="C2" s="161" t="s">
        <v>73</v>
      </c>
      <c r="D2" s="161" t="s">
        <v>0</v>
      </c>
      <c r="E2" s="151" t="s">
        <v>100</v>
      </c>
      <c r="F2" s="152"/>
      <c r="G2" s="118" t="s">
        <v>36</v>
      </c>
      <c r="H2" s="119"/>
      <c r="I2" s="119"/>
      <c r="J2" s="120"/>
      <c r="K2" s="118" t="s">
        <v>37</v>
      </c>
      <c r="L2" s="119"/>
      <c r="M2" s="119"/>
      <c r="N2" s="120"/>
      <c r="O2" s="118" t="s">
        <v>38</v>
      </c>
      <c r="P2" s="119"/>
      <c r="Q2" s="119"/>
      <c r="R2" s="120"/>
      <c r="S2" s="161" t="s">
        <v>50</v>
      </c>
      <c r="T2" s="161"/>
      <c r="U2" s="161"/>
    </row>
    <row r="3" spans="1:26" ht="15" customHeight="1" x14ac:dyDescent="0.25">
      <c r="A3" s="130"/>
      <c r="B3" s="161"/>
      <c r="C3" s="161"/>
      <c r="D3" s="161"/>
      <c r="E3" s="153"/>
      <c r="F3" s="154"/>
      <c r="G3" s="118" t="s">
        <v>49</v>
      </c>
      <c r="H3" s="120"/>
      <c r="I3" s="121" t="s">
        <v>2</v>
      </c>
      <c r="J3" s="122"/>
      <c r="K3" s="118" t="s">
        <v>49</v>
      </c>
      <c r="L3" s="120"/>
      <c r="M3" s="121" t="s">
        <v>2</v>
      </c>
      <c r="N3" s="122"/>
      <c r="O3" s="118" t="s">
        <v>49</v>
      </c>
      <c r="P3" s="120"/>
      <c r="Q3" s="121" t="s">
        <v>2</v>
      </c>
      <c r="R3" s="122"/>
      <c r="S3" s="148" t="s">
        <v>49</v>
      </c>
      <c r="T3" s="148"/>
      <c r="U3" s="162" t="s">
        <v>43</v>
      </c>
    </row>
    <row r="4" spans="1:26" ht="15" customHeight="1" x14ac:dyDescent="0.25">
      <c r="A4" s="130"/>
      <c r="B4" s="161"/>
      <c r="C4" s="161"/>
      <c r="D4" s="161"/>
      <c r="E4" s="153"/>
      <c r="F4" s="154"/>
      <c r="G4" s="121">
        <v>34</v>
      </c>
      <c r="H4" s="122"/>
      <c r="I4" s="146">
        <v>1826.64</v>
      </c>
      <c r="J4" s="147"/>
      <c r="K4" s="121">
        <v>17</v>
      </c>
      <c r="L4" s="122"/>
      <c r="M4" s="146">
        <v>4440</v>
      </c>
      <c r="N4" s="147"/>
      <c r="O4" s="121">
        <v>108</v>
      </c>
      <c r="P4" s="122"/>
      <c r="Q4" s="146">
        <v>2220</v>
      </c>
      <c r="R4" s="147"/>
      <c r="S4" s="148">
        <f>G4+K4+O4</f>
        <v>159</v>
      </c>
      <c r="T4" s="148"/>
      <c r="U4" s="162"/>
    </row>
    <row r="5" spans="1:26" ht="25.5" x14ac:dyDescent="0.25">
      <c r="A5" s="130"/>
      <c r="B5" s="161"/>
      <c r="C5" s="161"/>
      <c r="D5" s="161"/>
      <c r="E5" s="155"/>
      <c r="F5" s="156"/>
      <c r="G5" s="34" t="s">
        <v>197</v>
      </c>
      <c r="H5" s="46" t="s">
        <v>43</v>
      </c>
      <c r="I5" s="34" t="s">
        <v>198</v>
      </c>
      <c r="J5" s="34" t="s">
        <v>199</v>
      </c>
      <c r="K5" s="34" t="s">
        <v>197</v>
      </c>
      <c r="L5" s="46" t="s">
        <v>43</v>
      </c>
      <c r="M5" s="34" t="s">
        <v>198</v>
      </c>
      <c r="N5" s="34" t="s">
        <v>199</v>
      </c>
      <c r="O5" s="34" t="s">
        <v>197</v>
      </c>
      <c r="P5" s="46" t="s">
        <v>43</v>
      </c>
      <c r="Q5" s="34" t="s">
        <v>198</v>
      </c>
      <c r="R5" s="34" t="s">
        <v>199</v>
      </c>
      <c r="S5" s="12" t="s">
        <v>198</v>
      </c>
      <c r="T5" s="13" t="s">
        <v>200</v>
      </c>
      <c r="U5" s="162"/>
    </row>
    <row r="6" spans="1:26" ht="13.9" customHeight="1" x14ac:dyDescent="0.25">
      <c r="A6" s="130" t="s">
        <v>81</v>
      </c>
      <c r="B6" s="137" t="s">
        <v>2</v>
      </c>
      <c r="C6" s="14" t="s">
        <v>1</v>
      </c>
      <c r="D6" s="15" t="s">
        <v>2</v>
      </c>
      <c r="E6" s="131" t="s">
        <v>98</v>
      </c>
      <c r="F6" s="132"/>
      <c r="G6" s="16">
        <f>I4/28*26</f>
        <v>1696.1657142857143</v>
      </c>
      <c r="H6" s="41">
        <f>G6/$G$80</f>
        <v>0.41154835445095655</v>
      </c>
      <c r="I6" s="16">
        <f t="shared" ref="I6:I26" si="0">G6*$G$4</f>
        <v>57669.634285714288</v>
      </c>
      <c r="J6" s="16">
        <f>I6*28</f>
        <v>1614749.76</v>
      </c>
      <c r="K6" s="16">
        <f>M4/28*26</f>
        <v>4122.8571428571431</v>
      </c>
      <c r="L6" s="41">
        <f>K6/$K$80</f>
        <v>0.4639889966086454</v>
      </c>
      <c r="M6" s="16">
        <f>K6*$K$4</f>
        <v>70088.571428571435</v>
      </c>
      <c r="N6" s="16">
        <f>M6*28</f>
        <v>1962480.0000000002</v>
      </c>
      <c r="O6" s="16">
        <f>Q4/28*26</f>
        <v>2061.4285714285716</v>
      </c>
      <c r="P6" s="41">
        <f>O6/$O$80</f>
        <v>0.4231702635774372</v>
      </c>
      <c r="Q6" s="16">
        <f>O6*$O$4</f>
        <v>222634.28571428574</v>
      </c>
      <c r="R6" s="16">
        <f>Q6*28</f>
        <v>6233760.0000000009</v>
      </c>
      <c r="S6" s="16">
        <f>I6+M6+Q6</f>
        <v>350392.49142857146</v>
      </c>
      <c r="T6" s="16">
        <f>S6*28</f>
        <v>9810989.7600000016</v>
      </c>
      <c r="U6" s="41">
        <f>T6/$T$80</f>
        <v>0.42872196039885063</v>
      </c>
    </row>
    <row r="7" spans="1:26" ht="13.9" customHeight="1" x14ac:dyDescent="0.25">
      <c r="A7" s="130"/>
      <c r="B7" s="138"/>
      <c r="C7" s="14" t="s">
        <v>3</v>
      </c>
      <c r="D7" s="15" t="s">
        <v>9</v>
      </c>
      <c r="E7" s="131" t="s">
        <v>69</v>
      </c>
      <c r="F7" s="132"/>
      <c r="G7" s="16">
        <f>G6*8%</f>
        <v>135.69325714285714</v>
      </c>
      <c r="H7" s="41">
        <f t="shared" ref="H7:H69" si="1">G7/$G$80</f>
        <v>3.2923868356076517E-2</v>
      </c>
      <c r="I7" s="16">
        <f t="shared" si="0"/>
        <v>4613.5707428571422</v>
      </c>
      <c r="J7" s="16">
        <f>I7*28</f>
        <v>129179.98079999999</v>
      </c>
      <c r="K7" s="16">
        <f>K6*8%</f>
        <v>329.82857142857148</v>
      </c>
      <c r="L7" s="41">
        <f t="shared" ref="L7:L70" si="2">K7/$K$80</f>
        <v>3.7119119728691634E-2</v>
      </c>
      <c r="M7" s="16">
        <f t="shared" ref="M7:M69" si="3">K7*$K$4</f>
        <v>5607.0857142857149</v>
      </c>
      <c r="N7" s="16">
        <f t="shared" ref="N7:N69" si="4">M7*28</f>
        <v>156998.40000000002</v>
      </c>
      <c r="O7" s="16">
        <f>O6*8%</f>
        <v>164.91428571428574</v>
      </c>
      <c r="P7" s="41">
        <f t="shared" ref="P7:P70" si="5">O7/$O$80</f>
        <v>3.3853621086194982E-2</v>
      </c>
      <c r="Q7" s="16">
        <f t="shared" ref="Q7:Q69" si="6">O7*$O$4</f>
        <v>17810.742857142861</v>
      </c>
      <c r="R7" s="16">
        <f t="shared" ref="R7:R69" si="7">Q7*28</f>
        <v>498700.8000000001</v>
      </c>
      <c r="S7" s="16">
        <f t="shared" ref="S7:S70" si="8">I7+M7+Q7</f>
        <v>28031.399314285718</v>
      </c>
      <c r="T7" s="16">
        <f t="shared" ref="T7:T70" si="9">S7*28</f>
        <v>784879.18080000009</v>
      </c>
      <c r="U7" s="41">
        <f t="shared" ref="U7:U70" si="10">T7/$T$80</f>
        <v>3.4297756831908048E-2</v>
      </c>
    </row>
    <row r="8" spans="1:26" x14ac:dyDescent="0.25">
      <c r="A8" s="130"/>
      <c r="B8" s="138"/>
      <c r="C8" s="14" t="s">
        <v>4</v>
      </c>
      <c r="D8" s="15" t="s">
        <v>12</v>
      </c>
      <c r="E8" s="131" t="s">
        <v>70</v>
      </c>
      <c r="F8" s="132"/>
      <c r="G8" s="16">
        <f>G6*20%</f>
        <v>339.23314285714287</v>
      </c>
      <c r="H8" s="41">
        <f t="shared" si="1"/>
        <v>8.2309670890191311E-2</v>
      </c>
      <c r="I8" s="16">
        <f t="shared" si="0"/>
        <v>11533.926857142858</v>
      </c>
      <c r="J8" s="16">
        <f>I8*28</f>
        <v>322949.95200000005</v>
      </c>
      <c r="K8" s="16">
        <f>K6*20%</f>
        <v>824.57142857142867</v>
      </c>
      <c r="L8" s="41">
        <f t="shared" si="2"/>
        <v>9.2797799321729088E-2</v>
      </c>
      <c r="M8" s="16">
        <f t="shared" si="3"/>
        <v>14017.714285714288</v>
      </c>
      <c r="N8" s="16">
        <f t="shared" si="4"/>
        <v>392496.00000000006</v>
      </c>
      <c r="O8" s="16">
        <f>O6*20%</f>
        <v>412.28571428571433</v>
      </c>
      <c r="P8" s="41">
        <f t="shared" si="5"/>
        <v>8.4634052715487448E-2</v>
      </c>
      <c r="Q8" s="16">
        <f t="shared" si="6"/>
        <v>44526.857142857145</v>
      </c>
      <c r="R8" s="16">
        <f t="shared" si="7"/>
        <v>1246752</v>
      </c>
      <c r="S8" s="16">
        <f t="shared" si="8"/>
        <v>70078.49828571429</v>
      </c>
      <c r="T8" s="16">
        <f t="shared" si="9"/>
        <v>1962197.952</v>
      </c>
      <c r="U8" s="41">
        <f t="shared" si="10"/>
        <v>8.574439207977011E-2</v>
      </c>
    </row>
    <row r="9" spans="1:26" x14ac:dyDescent="0.25">
      <c r="A9" s="130"/>
      <c r="B9" s="138"/>
      <c r="C9" s="14" t="s">
        <v>5</v>
      </c>
      <c r="D9" s="15" t="s">
        <v>96</v>
      </c>
      <c r="E9" s="131" t="s">
        <v>114</v>
      </c>
      <c r="F9" s="132"/>
      <c r="G9" s="16">
        <f>G6*0.2%</f>
        <v>3.3923314285714286</v>
      </c>
      <c r="H9" s="41">
        <f t="shared" si="1"/>
        <v>8.2309670890191302E-4</v>
      </c>
      <c r="I9" s="16">
        <f t="shared" si="0"/>
        <v>115.33926857142858</v>
      </c>
      <c r="J9" s="16">
        <f t="shared" ref="J9:J69" si="11">I9*28</f>
        <v>3229.4995200000003</v>
      </c>
      <c r="K9" s="16">
        <f>K6*0.2%</f>
        <v>8.2457142857142856</v>
      </c>
      <c r="L9" s="41">
        <f t="shared" si="2"/>
        <v>9.2797799321729082E-4</v>
      </c>
      <c r="M9" s="16">
        <f t="shared" si="3"/>
        <v>140.17714285714285</v>
      </c>
      <c r="N9" s="16">
        <f t="shared" si="4"/>
        <v>3924.96</v>
      </c>
      <c r="O9" s="16">
        <f>O6*0.2%</f>
        <v>4.1228571428571428</v>
      </c>
      <c r="P9" s="41">
        <f t="shared" si="5"/>
        <v>8.4634052715487434E-4</v>
      </c>
      <c r="Q9" s="16">
        <f t="shared" si="6"/>
        <v>445.26857142857142</v>
      </c>
      <c r="R9" s="16">
        <f t="shared" si="7"/>
        <v>12467.52</v>
      </c>
      <c r="S9" s="16">
        <f t="shared" si="8"/>
        <v>700.78498285714284</v>
      </c>
      <c r="T9" s="16">
        <f t="shared" si="9"/>
        <v>19621.979520000001</v>
      </c>
      <c r="U9" s="41">
        <f t="shared" si="10"/>
        <v>8.5744392079770116E-4</v>
      </c>
    </row>
    <row r="10" spans="1:26" x14ac:dyDescent="0.25">
      <c r="A10" s="130"/>
      <c r="B10" s="138"/>
      <c r="C10" s="14" t="s">
        <v>6</v>
      </c>
      <c r="D10" s="15" t="s">
        <v>111</v>
      </c>
      <c r="E10" s="131" t="s">
        <v>115</v>
      </c>
      <c r="F10" s="132"/>
      <c r="G10" s="16">
        <f>G6*1%</f>
        <v>16.961657142857142</v>
      </c>
      <c r="H10" s="41">
        <f t="shared" si="1"/>
        <v>4.1154835445095647E-3</v>
      </c>
      <c r="I10" s="16">
        <f t="shared" si="0"/>
        <v>576.69634285714278</v>
      </c>
      <c r="J10" s="16">
        <f t="shared" si="11"/>
        <v>16147.497599999999</v>
      </c>
      <c r="K10" s="16">
        <f>K6*1%</f>
        <v>41.228571428571435</v>
      </c>
      <c r="L10" s="41">
        <f t="shared" si="2"/>
        <v>4.6398899660864542E-3</v>
      </c>
      <c r="M10" s="16">
        <f t="shared" si="3"/>
        <v>700.88571428571436</v>
      </c>
      <c r="N10" s="16">
        <f t="shared" si="4"/>
        <v>19624.800000000003</v>
      </c>
      <c r="O10" s="16">
        <f>O6*1%</f>
        <v>20.614285714285717</v>
      </c>
      <c r="P10" s="41">
        <f t="shared" si="5"/>
        <v>4.2317026357743728E-3</v>
      </c>
      <c r="Q10" s="16">
        <f t="shared" si="6"/>
        <v>2226.3428571428576</v>
      </c>
      <c r="R10" s="16">
        <f t="shared" si="7"/>
        <v>62337.600000000013</v>
      </c>
      <c r="S10" s="16">
        <f t="shared" si="8"/>
        <v>3503.9249142857147</v>
      </c>
      <c r="T10" s="16">
        <f t="shared" si="9"/>
        <v>98109.897600000011</v>
      </c>
      <c r="U10" s="41">
        <f t="shared" si="10"/>
        <v>4.287219603988506E-3</v>
      </c>
    </row>
    <row r="11" spans="1:26" x14ac:dyDescent="0.25">
      <c r="A11" s="130"/>
      <c r="B11" s="138"/>
      <c r="C11" s="14" t="s">
        <v>8</v>
      </c>
      <c r="D11" s="15" t="s">
        <v>112</v>
      </c>
      <c r="E11" s="131" t="s">
        <v>116</v>
      </c>
      <c r="F11" s="132"/>
      <c r="G11" s="16">
        <f>G6*1.5%</f>
        <v>25.442485714285713</v>
      </c>
      <c r="H11" s="41">
        <f t="shared" si="1"/>
        <v>6.1732253167643475E-3</v>
      </c>
      <c r="I11" s="16">
        <f t="shared" si="0"/>
        <v>865.04451428571429</v>
      </c>
      <c r="J11" s="16">
        <f t="shared" si="11"/>
        <v>24221.2464</v>
      </c>
      <c r="K11" s="16">
        <f>K6*1.5%</f>
        <v>61.842857142857142</v>
      </c>
      <c r="L11" s="41">
        <f t="shared" si="2"/>
        <v>6.9598349491296809E-3</v>
      </c>
      <c r="M11" s="16">
        <f t="shared" si="3"/>
        <v>1051.3285714285714</v>
      </c>
      <c r="N11" s="16">
        <f t="shared" si="4"/>
        <v>29437.200000000001</v>
      </c>
      <c r="O11" s="16">
        <f>O6*1.5%</f>
        <v>30.921428571428571</v>
      </c>
      <c r="P11" s="41">
        <f t="shared" si="5"/>
        <v>6.3475539536615574E-3</v>
      </c>
      <c r="Q11" s="16">
        <f t="shared" si="6"/>
        <v>3339.5142857142855</v>
      </c>
      <c r="R11" s="16">
        <f t="shared" si="7"/>
        <v>93506.4</v>
      </c>
      <c r="S11" s="16">
        <f t="shared" si="8"/>
        <v>5255.887371428571</v>
      </c>
      <c r="T11" s="16">
        <f t="shared" si="9"/>
        <v>147164.84639999998</v>
      </c>
      <c r="U11" s="41">
        <f t="shared" si="10"/>
        <v>6.4308294059827577E-3</v>
      </c>
    </row>
    <row r="12" spans="1:26" x14ac:dyDescent="0.25">
      <c r="A12" s="130"/>
      <c r="B12" s="138"/>
      <c r="C12" s="14" t="s">
        <v>10</v>
      </c>
      <c r="D12" s="15" t="s">
        <v>113</v>
      </c>
      <c r="E12" s="131" t="s">
        <v>117</v>
      </c>
      <c r="F12" s="132"/>
      <c r="G12" s="16">
        <f>G6*0.6%</f>
        <v>10.176994285714287</v>
      </c>
      <c r="H12" s="41">
        <f t="shared" si="1"/>
        <v>2.4692901267057395E-3</v>
      </c>
      <c r="I12" s="16">
        <f t="shared" si="0"/>
        <v>346.01780571428571</v>
      </c>
      <c r="J12" s="16">
        <f t="shared" si="11"/>
        <v>9688.49856</v>
      </c>
      <c r="K12" s="16">
        <f>K6*0.6%</f>
        <v>24.73714285714286</v>
      </c>
      <c r="L12" s="41">
        <f t="shared" si="2"/>
        <v>2.7839339796518728E-3</v>
      </c>
      <c r="M12" s="16">
        <f t="shared" si="3"/>
        <v>420.53142857142865</v>
      </c>
      <c r="N12" s="16">
        <f t="shared" si="4"/>
        <v>11774.880000000003</v>
      </c>
      <c r="O12" s="16">
        <f>O6*0.6%</f>
        <v>12.36857142857143</v>
      </c>
      <c r="P12" s="41">
        <f t="shared" si="5"/>
        <v>2.5390215814646237E-3</v>
      </c>
      <c r="Q12" s="16">
        <f t="shared" si="6"/>
        <v>1335.8057142857144</v>
      </c>
      <c r="R12" s="16">
        <f t="shared" si="7"/>
        <v>37402.560000000005</v>
      </c>
      <c r="S12" s="16">
        <f t="shared" si="8"/>
        <v>2102.3549485714288</v>
      </c>
      <c r="T12" s="16">
        <f t="shared" si="9"/>
        <v>58865.93856000001</v>
      </c>
      <c r="U12" s="41">
        <f t="shared" si="10"/>
        <v>2.5723317623931037E-3</v>
      </c>
    </row>
    <row r="13" spans="1:26" x14ac:dyDescent="0.25">
      <c r="A13" s="130"/>
      <c r="B13" s="138"/>
      <c r="C13" s="14" t="s">
        <v>11</v>
      </c>
      <c r="D13" s="15" t="s">
        <v>14</v>
      </c>
      <c r="E13" s="131" t="s">
        <v>71</v>
      </c>
      <c r="F13" s="132"/>
      <c r="G13" s="16">
        <f>G6*2.5%</f>
        <v>42.404142857142858</v>
      </c>
      <c r="H13" s="41">
        <f t="shared" si="1"/>
        <v>1.0288708861273914E-2</v>
      </c>
      <c r="I13" s="16">
        <f t="shared" si="0"/>
        <v>1441.7408571428573</v>
      </c>
      <c r="J13" s="16">
        <f t="shared" si="11"/>
        <v>40368.744000000006</v>
      </c>
      <c r="K13" s="16">
        <f>K6*2.5%</f>
        <v>103.07142857142858</v>
      </c>
      <c r="L13" s="41">
        <f t="shared" si="2"/>
        <v>1.1599724915216136E-2</v>
      </c>
      <c r="M13" s="16">
        <f t="shared" si="3"/>
        <v>1752.214285714286</v>
      </c>
      <c r="N13" s="16">
        <f t="shared" si="4"/>
        <v>49062.000000000007</v>
      </c>
      <c r="O13" s="16">
        <f>O6*2.5%</f>
        <v>51.535714285714292</v>
      </c>
      <c r="P13" s="41">
        <f t="shared" si="5"/>
        <v>1.0579256589435931E-2</v>
      </c>
      <c r="Q13" s="16">
        <f t="shared" si="6"/>
        <v>5565.8571428571431</v>
      </c>
      <c r="R13" s="16">
        <f t="shared" si="7"/>
        <v>155844</v>
      </c>
      <c r="S13" s="16">
        <f t="shared" si="8"/>
        <v>8759.8122857142862</v>
      </c>
      <c r="T13" s="16">
        <f t="shared" si="9"/>
        <v>245274.74400000001</v>
      </c>
      <c r="U13" s="41">
        <f t="shared" si="10"/>
        <v>1.0718049009971264E-2</v>
      </c>
    </row>
    <row r="14" spans="1:26" s="73" customFormat="1" x14ac:dyDescent="0.25">
      <c r="A14" s="130"/>
      <c r="B14" s="138"/>
      <c r="C14" s="24" t="s">
        <v>13</v>
      </c>
      <c r="D14" s="15" t="s">
        <v>16</v>
      </c>
      <c r="E14" s="133" t="s">
        <v>223</v>
      </c>
      <c r="F14" s="134"/>
      <c r="G14" s="16">
        <f>G6*2.029%</f>
        <v>34.415202342857143</v>
      </c>
      <c r="H14" s="41">
        <f t="shared" si="1"/>
        <v>8.3503161118099085E-3</v>
      </c>
      <c r="I14" s="16">
        <f t="shared" si="0"/>
        <v>1170.1168796571428</v>
      </c>
      <c r="J14" s="16">
        <f t="shared" si="11"/>
        <v>32763.272630399999</v>
      </c>
      <c r="K14" s="16">
        <f>K6*2.029%</f>
        <v>83.652771428571427</v>
      </c>
      <c r="L14" s="41">
        <f t="shared" si="2"/>
        <v>9.4143367411894142E-3</v>
      </c>
      <c r="M14" s="16">
        <f t="shared" si="3"/>
        <v>1422.0971142857143</v>
      </c>
      <c r="N14" s="16">
        <f t="shared" si="4"/>
        <v>39818.7192</v>
      </c>
      <c r="O14" s="16">
        <f>O6*2.029%</f>
        <v>41.826385714285713</v>
      </c>
      <c r="P14" s="41">
        <f t="shared" si="5"/>
        <v>8.5861246479862E-3</v>
      </c>
      <c r="Q14" s="16">
        <f t="shared" si="6"/>
        <v>4517.2496571428574</v>
      </c>
      <c r="R14" s="16">
        <f t="shared" si="7"/>
        <v>126482.99040000001</v>
      </c>
      <c r="S14" s="16">
        <f t="shared" si="8"/>
        <v>7109.4636510857144</v>
      </c>
      <c r="T14" s="16">
        <f t="shared" si="9"/>
        <v>199064.9822304</v>
      </c>
      <c r="U14" s="41">
        <f t="shared" si="10"/>
        <v>8.6987685764926773E-3</v>
      </c>
      <c r="Z14" s="74"/>
    </row>
    <row r="15" spans="1:26" x14ac:dyDescent="0.25">
      <c r="A15" s="130"/>
      <c r="B15" s="139"/>
      <c r="C15" s="17" t="s">
        <v>15</v>
      </c>
      <c r="D15" s="18" t="s">
        <v>7</v>
      </c>
      <c r="E15" s="135" t="s">
        <v>118</v>
      </c>
      <c r="F15" s="136"/>
      <c r="G15" s="19">
        <f>SUM(G6:G14)</f>
        <v>2303.8849280571435</v>
      </c>
      <c r="H15" s="42">
        <f t="shared" si="1"/>
        <v>0.55900201436718988</v>
      </c>
      <c r="I15" s="19">
        <f t="shared" si="0"/>
        <v>78332.087553942882</v>
      </c>
      <c r="J15" s="19">
        <f t="shared" si="11"/>
        <v>2193298.4515104005</v>
      </c>
      <c r="K15" s="19">
        <f>SUM(K6:K14)</f>
        <v>5600.0356285714288</v>
      </c>
      <c r="L15" s="42">
        <f t="shared" si="2"/>
        <v>0.630231614203557</v>
      </c>
      <c r="M15" s="19">
        <f t="shared" si="3"/>
        <v>95200.605685714283</v>
      </c>
      <c r="N15" s="19">
        <f t="shared" si="4"/>
        <v>2665616.9591999999</v>
      </c>
      <c r="O15" s="19">
        <f>SUM(O6:O14)</f>
        <v>2800.0178142857144</v>
      </c>
      <c r="P15" s="42">
        <f t="shared" si="5"/>
        <v>0.57478793731459721</v>
      </c>
      <c r="Q15" s="19">
        <f t="shared" si="6"/>
        <v>302401.92394285713</v>
      </c>
      <c r="R15" s="19">
        <f t="shared" si="7"/>
        <v>8467253.8704000004</v>
      </c>
      <c r="S15" s="19">
        <f t="shared" si="8"/>
        <v>475934.61718251428</v>
      </c>
      <c r="T15" s="19">
        <f t="shared" si="9"/>
        <v>13326169.2811104</v>
      </c>
      <c r="U15" s="42">
        <f t="shared" si="10"/>
        <v>0.58232875159015474</v>
      </c>
    </row>
    <row r="16" spans="1:26" x14ac:dyDescent="0.25">
      <c r="A16" s="130"/>
      <c r="B16" s="161" t="s">
        <v>48</v>
      </c>
      <c r="C16" s="14" t="s">
        <v>17</v>
      </c>
      <c r="D16" s="15" t="s">
        <v>22</v>
      </c>
      <c r="E16" s="169">
        <v>0</v>
      </c>
      <c r="F16" s="170"/>
      <c r="G16" s="16">
        <v>0</v>
      </c>
      <c r="H16" s="41">
        <f t="shared" si="1"/>
        <v>0</v>
      </c>
      <c r="I16" s="16">
        <f t="shared" si="0"/>
        <v>0</v>
      </c>
      <c r="J16" s="16">
        <f t="shared" si="11"/>
        <v>0</v>
      </c>
      <c r="K16" s="16">
        <f>E16</f>
        <v>0</v>
      </c>
      <c r="L16" s="41">
        <f t="shared" si="2"/>
        <v>0</v>
      </c>
      <c r="M16" s="16">
        <f t="shared" si="3"/>
        <v>0</v>
      </c>
      <c r="N16" s="16">
        <f t="shared" si="4"/>
        <v>0</v>
      </c>
      <c r="O16" s="16">
        <f>E16</f>
        <v>0</v>
      </c>
      <c r="P16" s="41">
        <f t="shared" si="5"/>
        <v>0</v>
      </c>
      <c r="Q16" s="16">
        <f t="shared" si="6"/>
        <v>0</v>
      </c>
      <c r="R16" s="16">
        <f t="shared" si="7"/>
        <v>0</v>
      </c>
      <c r="S16" s="16">
        <f t="shared" si="8"/>
        <v>0</v>
      </c>
      <c r="T16" s="16">
        <f t="shared" si="9"/>
        <v>0</v>
      </c>
      <c r="U16" s="41">
        <f t="shared" si="10"/>
        <v>0</v>
      </c>
    </row>
    <row r="17" spans="1:26" x14ac:dyDescent="0.25">
      <c r="A17" s="130"/>
      <c r="B17" s="161"/>
      <c r="C17" s="14" t="s">
        <v>18</v>
      </c>
      <c r="D17" s="15" t="s">
        <v>24</v>
      </c>
      <c r="E17" s="169">
        <v>33.619999999999997</v>
      </c>
      <c r="F17" s="170"/>
      <c r="G17" s="16">
        <f>(E17*21)/28*26</f>
        <v>655.59</v>
      </c>
      <c r="H17" s="41">
        <f t="shared" si="1"/>
        <v>0.15906876516963625</v>
      </c>
      <c r="I17" s="16">
        <f t="shared" si="0"/>
        <v>22290.06</v>
      </c>
      <c r="J17" s="16">
        <f t="shared" si="11"/>
        <v>624121.68000000005</v>
      </c>
      <c r="K17" s="16">
        <f>(E17*21)/28*26</f>
        <v>655.59</v>
      </c>
      <c r="L17" s="41">
        <f t="shared" si="2"/>
        <v>7.378052058235042E-2</v>
      </c>
      <c r="M17" s="16">
        <f t="shared" si="3"/>
        <v>11145.03</v>
      </c>
      <c r="N17" s="16">
        <f t="shared" si="4"/>
        <v>312060.84000000003</v>
      </c>
      <c r="O17" s="16">
        <f>(E17*21)/28*26</f>
        <v>655.59</v>
      </c>
      <c r="P17" s="41">
        <f t="shared" si="5"/>
        <v>0.13457958085177577</v>
      </c>
      <c r="Q17" s="16">
        <f t="shared" si="6"/>
        <v>70803.72</v>
      </c>
      <c r="R17" s="16">
        <f t="shared" si="7"/>
        <v>1982504.1600000001</v>
      </c>
      <c r="S17" s="16">
        <f t="shared" si="8"/>
        <v>104238.81</v>
      </c>
      <c r="T17" s="16">
        <f t="shared" si="9"/>
        <v>2918686.6799999997</v>
      </c>
      <c r="U17" s="41">
        <f t="shared" si="10"/>
        <v>0.12754116616666539</v>
      </c>
    </row>
    <row r="18" spans="1:26" x14ac:dyDescent="0.25">
      <c r="A18" s="130"/>
      <c r="B18" s="161"/>
      <c r="C18" s="14" t="s">
        <v>19</v>
      </c>
      <c r="D18" s="15" t="s">
        <v>26</v>
      </c>
      <c r="E18" s="169">
        <v>0</v>
      </c>
      <c r="F18" s="170"/>
      <c r="G18" s="16">
        <f>E18</f>
        <v>0</v>
      </c>
      <c r="H18" s="41">
        <f t="shared" si="1"/>
        <v>0</v>
      </c>
      <c r="I18" s="16">
        <f t="shared" si="0"/>
        <v>0</v>
      </c>
      <c r="J18" s="16">
        <f t="shared" si="11"/>
        <v>0</v>
      </c>
      <c r="K18" s="16">
        <f>E18</f>
        <v>0</v>
      </c>
      <c r="L18" s="41">
        <f t="shared" si="2"/>
        <v>0</v>
      </c>
      <c r="M18" s="16">
        <f t="shared" si="3"/>
        <v>0</v>
      </c>
      <c r="N18" s="16">
        <f t="shared" si="4"/>
        <v>0</v>
      </c>
      <c r="O18" s="16">
        <f>E18</f>
        <v>0</v>
      </c>
      <c r="P18" s="41">
        <f t="shared" si="5"/>
        <v>0</v>
      </c>
      <c r="Q18" s="16">
        <f t="shared" si="6"/>
        <v>0</v>
      </c>
      <c r="R18" s="16">
        <f t="shared" si="7"/>
        <v>0</v>
      </c>
      <c r="S18" s="16">
        <f t="shared" si="8"/>
        <v>0</v>
      </c>
      <c r="T18" s="16">
        <f t="shared" si="9"/>
        <v>0</v>
      </c>
      <c r="U18" s="41">
        <f t="shared" si="10"/>
        <v>0</v>
      </c>
    </row>
    <row r="19" spans="1:26" s="73" customFormat="1" x14ac:dyDescent="0.25">
      <c r="A19" s="130"/>
      <c r="B19" s="161"/>
      <c r="C19" s="24" t="s">
        <v>20</v>
      </c>
      <c r="D19" s="15" t="s">
        <v>28</v>
      </c>
      <c r="E19" s="103">
        <v>0</v>
      </c>
      <c r="F19" s="103">
        <v>0</v>
      </c>
      <c r="G19" s="16">
        <v>0</v>
      </c>
      <c r="H19" s="41">
        <f t="shared" si="1"/>
        <v>0</v>
      </c>
      <c r="I19" s="16">
        <f t="shared" si="0"/>
        <v>0</v>
      </c>
      <c r="J19" s="16">
        <f t="shared" si="11"/>
        <v>0</v>
      </c>
      <c r="K19" s="16">
        <f>F19</f>
        <v>0</v>
      </c>
      <c r="L19" s="41">
        <f t="shared" si="2"/>
        <v>0</v>
      </c>
      <c r="M19" s="16">
        <f t="shared" si="3"/>
        <v>0</v>
      </c>
      <c r="N19" s="16">
        <f t="shared" si="4"/>
        <v>0</v>
      </c>
      <c r="O19" s="16">
        <f>F19</f>
        <v>0</v>
      </c>
      <c r="P19" s="41">
        <f t="shared" si="5"/>
        <v>0</v>
      </c>
      <c r="Q19" s="16">
        <f t="shared" si="6"/>
        <v>0</v>
      </c>
      <c r="R19" s="16">
        <f t="shared" si="7"/>
        <v>0</v>
      </c>
      <c r="S19" s="16">
        <f t="shared" si="8"/>
        <v>0</v>
      </c>
      <c r="T19" s="16">
        <f t="shared" si="9"/>
        <v>0</v>
      </c>
      <c r="U19" s="41">
        <f t="shared" si="10"/>
        <v>0</v>
      </c>
      <c r="Z19" s="74"/>
    </row>
    <row r="20" spans="1:26" x14ac:dyDescent="0.25">
      <c r="A20" s="130"/>
      <c r="B20" s="161"/>
      <c r="C20" s="14" t="s">
        <v>21</v>
      </c>
      <c r="D20" s="15" t="s">
        <v>29</v>
      </c>
      <c r="E20" s="169">
        <v>3.9</v>
      </c>
      <c r="F20" s="170"/>
      <c r="G20" s="16">
        <f>IF((E20*42)-(I4*6%)&gt;0,((E20*42)-(I4*6%))/28*26,0)</f>
        <v>50.330057142857129</v>
      </c>
      <c r="H20" s="41">
        <f t="shared" si="1"/>
        <v>1.2211809272001576E-2</v>
      </c>
      <c r="I20" s="16">
        <f t="shared" si="0"/>
        <v>1711.2219428571425</v>
      </c>
      <c r="J20" s="16">
        <f t="shared" si="11"/>
        <v>47914.21439999999</v>
      </c>
      <c r="K20" s="16">
        <f>IF((E20*42)-(M4*6%)&gt;0,((E20*42)-(M4*6%))/28*26,0)</f>
        <v>0</v>
      </c>
      <c r="L20" s="41">
        <f t="shared" si="2"/>
        <v>0</v>
      </c>
      <c r="M20" s="16">
        <f t="shared" si="3"/>
        <v>0</v>
      </c>
      <c r="N20" s="16">
        <f t="shared" si="4"/>
        <v>0</v>
      </c>
      <c r="O20" s="16">
        <f>IF((E20*42)-(Q4*6%)&gt;0,((E20*42)-(Q4*6%))/28*26,0)</f>
        <v>28.414285714285711</v>
      </c>
      <c r="P20" s="41">
        <f t="shared" si="5"/>
        <v>5.8328874168781875E-3</v>
      </c>
      <c r="Q20" s="16">
        <f t="shared" si="6"/>
        <v>3068.7428571428568</v>
      </c>
      <c r="R20" s="16">
        <f t="shared" si="7"/>
        <v>85924.799999999988</v>
      </c>
      <c r="S20" s="16">
        <f t="shared" si="8"/>
        <v>4779.9647999999997</v>
      </c>
      <c r="T20" s="16">
        <f t="shared" si="9"/>
        <v>133839.01439999999</v>
      </c>
      <c r="U20" s="41">
        <f t="shared" si="10"/>
        <v>5.8485153929482836E-3</v>
      </c>
    </row>
    <row r="21" spans="1:26" x14ac:dyDescent="0.25">
      <c r="A21" s="130"/>
      <c r="B21" s="161"/>
      <c r="C21" s="17" t="s">
        <v>23</v>
      </c>
      <c r="D21" s="18" t="s">
        <v>7</v>
      </c>
      <c r="E21" s="135" t="s">
        <v>119</v>
      </c>
      <c r="F21" s="136"/>
      <c r="G21" s="19">
        <f>SUM(G16:G20)</f>
        <v>705.9200571428571</v>
      </c>
      <c r="H21" s="42">
        <f t="shared" si="1"/>
        <v>0.1712805744416378</v>
      </c>
      <c r="I21" s="19">
        <f t="shared" si="0"/>
        <v>24001.281942857142</v>
      </c>
      <c r="J21" s="19">
        <f t="shared" si="11"/>
        <v>672035.89439999999</v>
      </c>
      <c r="K21" s="19">
        <f>SUM(K16:K20)</f>
        <v>655.59</v>
      </c>
      <c r="L21" s="42">
        <f t="shared" si="2"/>
        <v>7.378052058235042E-2</v>
      </c>
      <c r="M21" s="19">
        <f t="shared" si="3"/>
        <v>11145.03</v>
      </c>
      <c r="N21" s="19">
        <f t="shared" si="4"/>
        <v>312060.84000000003</v>
      </c>
      <c r="O21" s="19">
        <f>SUM(O16:O20)</f>
        <v>684.00428571428574</v>
      </c>
      <c r="P21" s="42">
        <f t="shared" si="5"/>
        <v>0.14041246826865397</v>
      </c>
      <c r="Q21" s="19">
        <f t="shared" si="6"/>
        <v>73872.462857142862</v>
      </c>
      <c r="R21" s="19">
        <f t="shared" si="7"/>
        <v>2068428.9600000002</v>
      </c>
      <c r="S21" s="19">
        <f t="shared" si="8"/>
        <v>109018.77480000001</v>
      </c>
      <c r="T21" s="19">
        <f t="shared" si="9"/>
        <v>3052525.6944000004</v>
      </c>
      <c r="U21" s="42">
        <f t="shared" si="10"/>
        <v>0.1333896815596137</v>
      </c>
      <c r="X21" s="20"/>
    </row>
    <row r="22" spans="1:26" ht="15" customHeight="1" x14ac:dyDescent="0.25">
      <c r="A22" s="127" t="s">
        <v>76</v>
      </c>
      <c r="B22" s="137" t="s">
        <v>72</v>
      </c>
      <c r="C22" s="21" t="s">
        <v>25</v>
      </c>
      <c r="D22" s="22" t="s">
        <v>72</v>
      </c>
      <c r="E22" s="131" t="s">
        <v>104</v>
      </c>
      <c r="F22" s="132"/>
      <c r="G22" s="11">
        <f>(I4+I4/3)/30*70/28</f>
        <v>202.96</v>
      </c>
      <c r="H22" s="43">
        <f t="shared" si="1"/>
        <v>4.9245102241994798E-2</v>
      </c>
      <c r="I22" s="11">
        <f t="shared" si="0"/>
        <v>6900.64</v>
      </c>
      <c r="J22" s="11">
        <f t="shared" si="11"/>
        <v>193217.92000000001</v>
      </c>
      <c r="K22" s="11">
        <f>(M4+M4/3)/30*70/28</f>
        <v>493.33333333333337</v>
      </c>
      <c r="L22" s="43">
        <f t="shared" si="2"/>
        <v>5.5520050876248173E-2</v>
      </c>
      <c r="M22" s="11">
        <f t="shared" si="3"/>
        <v>8386.6666666666679</v>
      </c>
      <c r="N22" s="11">
        <f t="shared" si="4"/>
        <v>234826.66666666669</v>
      </c>
      <c r="O22" s="11">
        <f>(Q4+Q4/3)/30*70/28</f>
        <v>246.66666666666669</v>
      </c>
      <c r="P22" s="43">
        <f t="shared" si="5"/>
        <v>5.0635758034907018E-2</v>
      </c>
      <c r="Q22" s="11">
        <f t="shared" si="6"/>
        <v>26640.000000000004</v>
      </c>
      <c r="R22" s="11">
        <f t="shared" si="7"/>
        <v>745920.00000000012</v>
      </c>
      <c r="S22" s="16">
        <f t="shared" si="8"/>
        <v>41927.306666666671</v>
      </c>
      <c r="T22" s="11">
        <f t="shared" si="9"/>
        <v>1173964.5866666669</v>
      </c>
      <c r="U22" s="43">
        <f t="shared" si="10"/>
        <v>5.1300063637469306E-2</v>
      </c>
    </row>
    <row r="23" spans="1:26" x14ac:dyDescent="0.25">
      <c r="A23" s="128"/>
      <c r="B23" s="138"/>
      <c r="C23" s="21" t="s">
        <v>27</v>
      </c>
      <c r="D23" s="22" t="s">
        <v>9</v>
      </c>
      <c r="E23" s="131" t="s">
        <v>121</v>
      </c>
      <c r="F23" s="132"/>
      <c r="G23" s="11">
        <f>G22*8%</f>
        <v>16.236800000000002</v>
      </c>
      <c r="H23" s="43">
        <f t="shared" si="1"/>
        <v>3.9396081793595843E-3</v>
      </c>
      <c r="I23" s="11">
        <f t="shared" si="0"/>
        <v>552.05120000000011</v>
      </c>
      <c r="J23" s="11">
        <f t="shared" si="11"/>
        <v>15457.433600000004</v>
      </c>
      <c r="K23" s="11">
        <f>K22*8%</f>
        <v>39.466666666666669</v>
      </c>
      <c r="L23" s="43">
        <f t="shared" si="2"/>
        <v>4.4416040700998539E-3</v>
      </c>
      <c r="M23" s="11">
        <f t="shared" si="3"/>
        <v>670.93333333333339</v>
      </c>
      <c r="N23" s="11">
        <f t="shared" si="4"/>
        <v>18786.133333333335</v>
      </c>
      <c r="O23" s="11">
        <f>O22*8%</f>
        <v>19.733333333333334</v>
      </c>
      <c r="P23" s="43">
        <f t="shared" si="5"/>
        <v>4.0508606427925612E-3</v>
      </c>
      <c r="Q23" s="11">
        <f t="shared" si="6"/>
        <v>2131.2000000000003</v>
      </c>
      <c r="R23" s="11">
        <f t="shared" si="7"/>
        <v>59673.600000000006</v>
      </c>
      <c r="S23" s="16">
        <f t="shared" si="8"/>
        <v>3354.184533333334</v>
      </c>
      <c r="T23" s="11">
        <f t="shared" si="9"/>
        <v>93917.166933333356</v>
      </c>
      <c r="U23" s="43">
        <f t="shared" si="10"/>
        <v>4.1040050909975445E-3</v>
      </c>
      <c r="W23" s="20"/>
      <c r="X23" s="23"/>
    </row>
    <row r="24" spans="1:26" x14ac:dyDescent="0.25">
      <c r="A24" s="128"/>
      <c r="B24" s="138"/>
      <c r="C24" s="21" t="s">
        <v>120</v>
      </c>
      <c r="D24" s="22" t="s">
        <v>12</v>
      </c>
      <c r="E24" s="131" t="s">
        <v>122</v>
      </c>
      <c r="F24" s="132"/>
      <c r="G24" s="11">
        <f>G22*20%</f>
        <v>40.592000000000006</v>
      </c>
      <c r="H24" s="43">
        <f t="shared" si="1"/>
        <v>9.8490204483989603E-3</v>
      </c>
      <c r="I24" s="11">
        <f t="shared" si="0"/>
        <v>1380.1280000000002</v>
      </c>
      <c r="J24" s="11">
        <f t="shared" si="11"/>
        <v>38643.584000000003</v>
      </c>
      <c r="K24" s="11">
        <f>K22*20%</f>
        <v>98.666666666666686</v>
      </c>
      <c r="L24" s="43">
        <f t="shared" si="2"/>
        <v>1.1104010175249635E-2</v>
      </c>
      <c r="M24" s="11">
        <f t="shared" si="3"/>
        <v>1677.3333333333337</v>
      </c>
      <c r="N24" s="11">
        <f t="shared" si="4"/>
        <v>46965.333333333343</v>
      </c>
      <c r="O24" s="11">
        <f>O22*20%</f>
        <v>49.333333333333343</v>
      </c>
      <c r="P24" s="43">
        <f t="shared" si="5"/>
        <v>1.0127151606981405E-2</v>
      </c>
      <c r="Q24" s="11">
        <f t="shared" si="6"/>
        <v>5328.0000000000009</v>
      </c>
      <c r="R24" s="11">
        <f t="shared" si="7"/>
        <v>149184.00000000003</v>
      </c>
      <c r="S24" s="16">
        <f t="shared" si="8"/>
        <v>8385.4613333333346</v>
      </c>
      <c r="T24" s="11">
        <f t="shared" si="9"/>
        <v>234792.91733333337</v>
      </c>
      <c r="U24" s="43">
        <f t="shared" si="10"/>
        <v>1.0260012727493861E-2</v>
      </c>
      <c r="X24" s="23"/>
    </row>
    <row r="25" spans="1:26" x14ac:dyDescent="0.25">
      <c r="A25" s="128"/>
      <c r="B25" s="138"/>
      <c r="C25" s="21" t="s">
        <v>30</v>
      </c>
      <c r="D25" s="15" t="s">
        <v>96</v>
      </c>
      <c r="E25" s="131" t="s">
        <v>123</v>
      </c>
      <c r="F25" s="132"/>
      <c r="G25" s="11">
        <f>G22*0.2%</f>
        <v>0.40592</v>
      </c>
      <c r="H25" s="43">
        <f t="shared" si="1"/>
        <v>9.8490204483989597E-5</v>
      </c>
      <c r="I25" s="11">
        <f t="shared" si="0"/>
        <v>13.80128</v>
      </c>
      <c r="J25" s="11">
        <f t="shared" si="11"/>
        <v>386.43583999999998</v>
      </c>
      <c r="K25" s="11">
        <f>K22*0.2%</f>
        <v>0.9866666666666668</v>
      </c>
      <c r="L25" s="43">
        <f t="shared" si="2"/>
        <v>1.1104010175249634E-4</v>
      </c>
      <c r="M25" s="11">
        <f t="shared" si="3"/>
        <v>16.773333333333337</v>
      </c>
      <c r="N25" s="11">
        <f t="shared" si="4"/>
        <v>469.65333333333342</v>
      </c>
      <c r="O25" s="11">
        <f>O22*0.2%</f>
        <v>0.4933333333333334</v>
      </c>
      <c r="P25" s="43">
        <f t="shared" si="5"/>
        <v>1.0127151606981404E-4</v>
      </c>
      <c r="Q25" s="11">
        <f t="shared" si="6"/>
        <v>53.280000000000008</v>
      </c>
      <c r="R25" s="11">
        <f t="shared" si="7"/>
        <v>1491.8400000000001</v>
      </c>
      <c r="S25" s="16">
        <f t="shared" si="8"/>
        <v>83.854613333333347</v>
      </c>
      <c r="T25" s="11">
        <f t="shared" si="9"/>
        <v>2347.9291733333339</v>
      </c>
      <c r="U25" s="43">
        <f t="shared" si="10"/>
        <v>1.0260012727493862E-4</v>
      </c>
      <c r="X25" s="23"/>
    </row>
    <row r="26" spans="1:26" x14ac:dyDescent="0.25">
      <c r="A26" s="128"/>
      <c r="B26" s="138"/>
      <c r="C26" s="21" t="s">
        <v>31</v>
      </c>
      <c r="D26" s="15" t="s">
        <v>111</v>
      </c>
      <c r="E26" s="131" t="s">
        <v>124</v>
      </c>
      <c r="F26" s="132"/>
      <c r="G26" s="11">
        <f>G22*1%</f>
        <v>2.0296000000000003</v>
      </c>
      <c r="H26" s="43">
        <f t="shared" si="1"/>
        <v>4.9245102241994804E-4</v>
      </c>
      <c r="I26" s="11">
        <f t="shared" si="0"/>
        <v>69.006400000000014</v>
      </c>
      <c r="J26" s="11">
        <f t="shared" si="11"/>
        <v>1932.1792000000005</v>
      </c>
      <c r="K26" s="11">
        <f>K22*1%</f>
        <v>4.9333333333333336</v>
      </c>
      <c r="L26" s="43">
        <f t="shared" si="2"/>
        <v>5.5520050876248174E-4</v>
      </c>
      <c r="M26" s="11">
        <f t="shared" si="3"/>
        <v>83.866666666666674</v>
      </c>
      <c r="N26" s="11">
        <f t="shared" si="4"/>
        <v>2348.2666666666669</v>
      </c>
      <c r="O26" s="11">
        <f>O22*1%</f>
        <v>2.4666666666666668</v>
      </c>
      <c r="P26" s="43">
        <f t="shared" si="5"/>
        <v>5.0635758034907016E-4</v>
      </c>
      <c r="Q26" s="11">
        <f t="shared" si="6"/>
        <v>266.40000000000003</v>
      </c>
      <c r="R26" s="11">
        <f t="shared" si="7"/>
        <v>7459.2000000000007</v>
      </c>
      <c r="S26" s="16">
        <f t="shared" si="8"/>
        <v>419.27306666666675</v>
      </c>
      <c r="T26" s="11">
        <f t="shared" si="9"/>
        <v>11739.645866666669</v>
      </c>
      <c r="U26" s="43">
        <f t="shared" si="10"/>
        <v>5.1300063637469307E-4</v>
      </c>
      <c r="X26" s="23"/>
    </row>
    <row r="27" spans="1:26" x14ac:dyDescent="0.25">
      <c r="A27" s="128"/>
      <c r="B27" s="138"/>
      <c r="C27" s="21" t="s">
        <v>33</v>
      </c>
      <c r="D27" s="15" t="s">
        <v>112</v>
      </c>
      <c r="E27" s="131" t="s">
        <v>125</v>
      </c>
      <c r="F27" s="132"/>
      <c r="G27" s="11">
        <f>G22*1.5%</f>
        <v>3.0444</v>
      </c>
      <c r="H27" s="43">
        <f t="shared" si="1"/>
        <v>7.38676533629922E-4</v>
      </c>
      <c r="I27" s="11">
        <f t="shared" ref="I27:I52" si="12">G27*$G$4</f>
        <v>103.50960000000001</v>
      </c>
      <c r="J27" s="11">
        <f t="shared" si="11"/>
        <v>2898.2688000000003</v>
      </c>
      <c r="K27" s="11">
        <f>K22*1.5%</f>
        <v>7.4</v>
      </c>
      <c r="L27" s="43">
        <f t="shared" si="2"/>
        <v>8.3280076314372255E-4</v>
      </c>
      <c r="M27" s="11">
        <f t="shared" si="3"/>
        <v>125.80000000000001</v>
      </c>
      <c r="N27" s="11">
        <f t="shared" si="4"/>
        <v>3522.4000000000005</v>
      </c>
      <c r="O27" s="11">
        <f>O22*1.5%</f>
        <v>3.7</v>
      </c>
      <c r="P27" s="43">
        <f t="shared" si="5"/>
        <v>7.5953637052360529E-4</v>
      </c>
      <c r="Q27" s="11">
        <f t="shared" si="6"/>
        <v>399.6</v>
      </c>
      <c r="R27" s="11">
        <f t="shared" si="7"/>
        <v>11188.800000000001</v>
      </c>
      <c r="S27" s="16">
        <f t="shared" si="8"/>
        <v>628.90960000000007</v>
      </c>
      <c r="T27" s="11">
        <f t="shared" si="9"/>
        <v>17609.468800000002</v>
      </c>
      <c r="U27" s="43">
        <f t="shared" si="10"/>
        <v>7.6950095456203955E-4</v>
      </c>
      <c r="X27" s="23"/>
    </row>
    <row r="28" spans="1:26" x14ac:dyDescent="0.25">
      <c r="A28" s="128"/>
      <c r="B28" s="138"/>
      <c r="C28" s="21" t="s">
        <v>34</v>
      </c>
      <c r="D28" s="15" t="s">
        <v>113</v>
      </c>
      <c r="E28" s="131" t="s">
        <v>126</v>
      </c>
      <c r="F28" s="132"/>
      <c r="G28" s="11">
        <f>G22*0.6%</f>
        <v>1.2177600000000002</v>
      </c>
      <c r="H28" s="43">
        <f t="shared" si="1"/>
        <v>2.9547061345196884E-4</v>
      </c>
      <c r="I28" s="11">
        <f t="shared" si="12"/>
        <v>41.403840000000002</v>
      </c>
      <c r="J28" s="11">
        <f t="shared" si="11"/>
        <v>1159.3075200000001</v>
      </c>
      <c r="K28" s="11">
        <f>K22*0.6%</f>
        <v>2.9600000000000004</v>
      </c>
      <c r="L28" s="43">
        <f t="shared" si="2"/>
        <v>3.3312030525748905E-4</v>
      </c>
      <c r="M28" s="11">
        <f t="shared" si="3"/>
        <v>50.320000000000007</v>
      </c>
      <c r="N28" s="11">
        <f t="shared" si="4"/>
        <v>1408.9600000000003</v>
      </c>
      <c r="O28" s="11">
        <f>O22*0.6%</f>
        <v>1.4800000000000002</v>
      </c>
      <c r="P28" s="43">
        <f t="shared" si="5"/>
        <v>3.0381454820944216E-4</v>
      </c>
      <c r="Q28" s="11">
        <f t="shared" si="6"/>
        <v>159.84000000000003</v>
      </c>
      <c r="R28" s="11">
        <f t="shared" si="7"/>
        <v>4475.5200000000004</v>
      </c>
      <c r="S28" s="16">
        <f t="shared" si="8"/>
        <v>251.56384000000003</v>
      </c>
      <c r="T28" s="11">
        <f t="shared" si="9"/>
        <v>7043.7875200000008</v>
      </c>
      <c r="U28" s="43">
        <f t="shared" si="10"/>
        <v>3.0780038182481585E-4</v>
      </c>
      <c r="X28" s="23"/>
    </row>
    <row r="29" spans="1:26" x14ac:dyDescent="0.25">
      <c r="A29" s="128"/>
      <c r="B29" s="138"/>
      <c r="C29" s="21" t="s">
        <v>35</v>
      </c>
      <c r="D29" s="22" t="s">
        <v>14</v>
      </c>
      <c r="E29" s="131" t="s">
        <v>127</v>
      </c>
      <c r="F29" s="132"/>
      <c r="G29" s="11">
        <f>G22*2.5%</f>
        <v>5.0740000000000007</v>
      </c>
      <c r="H29" s="43">
        <f t="shared" si="1"/>
        <v>1.23112755604987E-3</v>
      </c>
      <c r="I29" s="11">
        <f t="shared" si="12"/>
        <v>172.51600000000002</v>
      </c>
      <c r="J29" s="11">
        <f t="shared" si="11"/>
        <v>4830.4480000000003</v>
      </c>
      <c r="K29" s="11">
        <f>K22*2.5%</f>
        <v>12.333333333333336</v>
      </c>
      <c r="L29" s="43">
        <f t="shared" si="2"/>
        <v>1.3880012719062044E-3</v>
      </c>
      <c r="M29" s="11">
        <f t="shared" si="3"/>
        <v>209.66666666666671</v>
      </c>
      <c r="N29" s="11">
        <f t="shared" si="4"/>
        <v>5870.6666666666679</v>
      </c>
      <c r="O29" s="11">
        <f>O22*2.5%</f>
        <v>6.1666666666666679</v>
      </c>
      <c r="P29" s="43">
        <f t="shared" si="5"/>
        <v>1.2658939508726757E-3</v>
      </c>
      <c r="Q29" s="11">
        <f t="shared" si="6"/>
        <v>666.00000000000011</v>
      </c>
      <c r="R29" s="11">
        <f t="shared" si="7"/>
        <v>18648.000000000004</v>
      </c>
      <c r="S29" s="16">
        <f t="shared" si="8"/>
        <v>1048.1826666666668</v>
      </c>
      <c r="T29" s="11">
        <f t="shared" si="9"/>
        <v>29349.114666666672</v>
      </c>
      <c r="U29" s="43">
        <f t="shared" si="10"/>
        <v>1.2825015909367326E-3</v>
      </c>
    </row>
    <row r="30" spans="1:26" x14ac:dyDescent="0.25">
      <c r="A30" s="128"/>
      <c r="B30" s="138"/>
      <c r="C30" s="21" t="s">
        <v>42</v>
      </c>
      <c r="D30" s="22" t="s">
        <v>16</v>
      </c>
      <c r="E30" s="133" t="s">
        <v>224</v>
      </c>
      <c r="F30" s="134"/>
      <c r="G30" s="11">
        <f>G22*2.029%</f>
        <v>4.1180583999999998</v>
      </c>
      <c r="H30" s="43">
        <f t="shared" si="1"/>
        <v>9.9918312449007434E-4</v>
      </c>
      <c r="I30" s="11">
        <f t="shared" si="12"/>
        <v>140.01398559999998</v>
      </c>
      <c r="J30" s="11">
        <f t="shared" si="11"/>
        <v>3920.3915967999997</v>
      </c>
      <c r="K30" s="11">
        <f>K22*2.029%</f>
        <v>10.009733333333333</v>
      </c>
      <c r="L30" s="43">
        <f t="shared" si="2"/>
        <v>1.1265018322790753E-3</v>
      </c>
      <c r="M30" s="11">
        <f t="shared" si="3"/>
        <v>170.16546666666667</v>
      </c>
      <c r="N30" s="11">
        <f t="shared" si="4"/>
        <v>4764.6330666666672</v>
      </c>
      <c r="O30" s="11">
        <f>O22*2.029%</f>
        <v>5.0048666666666666</v>
      </c>
      <c r="P30" s="43">
        <f t="shared" si="5"/>
        <v>1.0273995305282633E-3</v>
      </c>
      <c r="Q30" s="11">
        <f t="shared" si="6"/>
        <v>540.52559999999994</v>
      </c>
      <c r="R30" s="11">
        <f t="shared" si="7"/>
        <v>15134.716799999998</v>
      </c>
      <c r="S30" s="16">
        <f t="shared" si="8"/>
        <v>850.7050522666666</v>
      </c>
      <c r="T30" s="11">
        <f t="shared" si="9"/>
        <v>23819.741463466664</v>
      </c>
      <c r="U30" s="43">
        <f t="shared" si="10"/>
        <v>1.040878291204252E-3</v>
      </c>
    </row>
    <row r="31" spans="1:26" x14ac:dyDescent="0.25">
      <c r="A31" s="128"/>
      <c r="B31" s="139"/>
      <c r="C31" s="17" t="s">
        <v>45</v>
      </c>
      <c r="D31" s="18" t="s">
        <v>7</v>
      </c>
      <c r="E31" s="135" t="s">
        <v>128</v>
      </c>
      <c r="F31" s="136"/>
      <c r="G31" s="19">
        <f>SUM(G22:G30)</f>
        <v>275.67853839999998</v>
      </c>
      <c r="H31" s="42">
        <f t="shared" si="1"/>
        <v>6.6889129924279103E-2</v>
      </c>
      <c r="I31" s="19">
        <f>G31*$G$4</f>
        <v>9373.0703055999984</v>
      </c>
      <c r="J31" s="19">
        <f t="shared" si="11"/>
        <v>262445.96855679993</v>
      </c>
      <c r="K31" s="19">
        <f>SUM(K22:K30)</f>
        <v>670.08973333333336</v>
      </c>
      <c r="L31" s="42">
        <f t="shared" si="2"/>
        <v>7.5412329904699121E-2</v>
      </c>
      <c r="M31" s="19">
        <f t="shared" si="3"/>
        <v>11391.525466666668</v>
      </c>
      <c r="N31" s="19">
        <f t="shared" si="4"/>
        <v>318962.71306666668</v>
      </c>
      <c r="O31" s="19">
        <f>SUM(O22:O30)</f>
        <v>335.04486666666668</v>
      </c>
      <c r="P31" s="42">
        <f t="shared" si="5"/>
        <v>6.8778043781233852E-2</v>
      </c>
      <c r="Q31" s="19">
        <f t="shared" si="6"/>
        <v>36184.845600000001</v>
      </c>
      <c r="R31" s="19">
        <f t="shared" si="7"/>
        <v>1013175.6768</v>
      </c>
      <c r="S31" s="19">
        <f t="shared" si="8"/>
        <v>56949.441372266665</v>
      </c>
      <c r="T31" s="19">
        <f t="shared" si="9"/>
        <v>1594584.3584234666</v>
      </c>
      <c r="U31" s="42">
        <f t="shared" si="10"/>
        <v>6.9680363438138174E-2</v>
      </c>
    </row>
    <row r="32" spans="1:26" ht="15" customHeight="1" x14ac:dyDescent="0.25">
      <c r="A32" s="128"/>
      <c r="B32" s="137" t="s">
        <v>39</v>
      </c>
      <c r="C32" s="21" t="s">
        <v>46</v>
      </c>
      <c r="D32" s="22" t="s">
        <v>39</v>
      </c>
      <c r="E32" s="131" t="s">
        <v>99</v>
      </c>
      <c r="F32" s="132"/>
      <c r="G32" s="11">
        <f>I4/30*70/28</f>
        <v>152.22000000000003</v>
      </c>
      <c r="H32" s="43">
        <f t="shared" si="1"/>
        <v>3.6933826681496106E-2</v>
      </c>
      <c r="I32" s="11">
        <f t="shared" si="12"/>
        <v>5175.4800000000014</v>
      </c>
      <c r="J32" s="11">
        <f t="shared" si="11"/>
        <v>144913.44000000003</v>
      </c>
      <c r="K32" s="11">
        <f>M4/30*70/28</f>
        <v>370</v>
      </c>
      <c r="L32" s="43">
        <f t="shared" si="2"/>
        <v>4.1640038157186123E-2</v>
      </c>
      <c r="M32" s="11">
        <f t="shared" si="3"/>
        <v>6290</v>
      </c>
      <c r="N32" s="11">
        <f t="shared" si="4"/>
        <v>176120</v>
      </c>
      <c r="O32" s="11">
        <f>Q4/30*70/28</f>
        <v>185</v>
      </c>
      <c r="P32" s="43">
        <f t="shared" si="5"/>
        <v>3.7976818526180262E-2</v>
      </c>
      <c r="Q32" s="11">
        <f t="shared" si="6"/>
        <v>19980</v>
      </c>
      <c r="R32" s="11">
        <f t="shared" si="7"/>
        <v>559440</v>
      </c>
      <c r="S32" s="16">
        <f t="shared" si="8"/>
        <v>31445.480000000003</v>
      </c>
      <c r="T32" s="11">
        <f t="shared" si="9"/>
        <v>880473.44000000006</v>
      </c>
      <c r="U32" s="43">
        <f t="shared" si="10"/>
        <v>3.847504772810198E-2</v>
      </c>
    </row>
    <row r="33" spans="1:21" x14ac:dyDescent="0.25">
      <c r="A33" s="128"/>
      <c r="B33" s="138"/>
      <c r="C33" s="21" t="s">
        <v>52</v>
      </c>
      <c r="D33" s="22" t="s">
        <v>9</v>
      </c>
      <c r="E33" s="131" t="s">
        <v>130</v>
      </c>
      <c r="F33" s="132"/>
      <c r="G33" s="11">
        <f>G32*8%</f>
        <v>12.177600000000002</v>
      </c>
      <c r="H33" s="43">
        <f t="shared" si="1"/>
        <v>2.9547061345196884E-3</v>
      </c>
      <c r="I33" s="11">
        <f t="shared" si="12"/>
        <v>414.03840000000008</v>
      </c>
      <c r="J33" s="11">
        <f t="shared" si="11"/>
        <v>11593.075200000003</v>
      </c>
      <c r="K33" s="11">
        <f>K32*8%</f>
        <v>29.6</v>
      </c>
      <c r="L33" s="43">
        <f t="shared" si="2"/>
        <v>3.3312030525748902E-3</v>
      </c>
      <c r="M33" s="11">
        <f t="shared" si="3"/>
        <v>503.20000000000005</v>
      </c>
      <c r="N33" s="11">
        <f t="shared" si="4"/>
        <v>14089.600000000002</v>
      </c>
      <c r="O33" s="11">
        <f>O32*8%</f>
        <v>14.8</v>
      </c>
      <c r="P33" s="43">
        <f t="shared" si="5"/>
        <v>3.0381454820944211E-3</v>
      </c>
      <c r="Q33" s="11">
        <f t="shared" si="6"/>
        <v>1598.4</v>
      </c>
      <c r="R33" s="11">
        <f t="shared" si="7"/>
        <v>44755.200000000004</v>
      </c>
      <c r="S33" s="16">
        <f t="shared" si="8"/>
        <v>2515.6384000000003</v>
      </c>
      <c r="T33" s="11">
        <f t="shared" si="9"/>
        <v>70437.875200000009</v>
      </c>
      <c r="U33" s="43">
        <f t="shared" si="10"/>
        <v>3.0780038182481582E-3</v>
      </c>
    </row>
    <row r="34" spans="1:21" x14ac:dyDescent="0.25">
      <c r="A34" s="128"/>
      <c r="B34" s="138"/>
      <c r="C34" s="21" t="s">
        <v>53</v>
      </c>
      <c r="D34" s="22" t="s">
        <v>12</v>
      </c>
      <c r="E34" s="131" t="s">
        <v>131</v>
      </c>
      <c r="F34" s="132"/>
      <c r="G34" s="11">
        <f>G32*20%</f>
        <v>30.444000000000006</v>
      </c>
      <c r="H34" s="43">
        <f t="shared" si="1"/>
        <v>7.3867653362992211E-3</v>
      </c>
      <c r="I34" s="11">
        <f t="shared" si="12"/>
        <v>1035.0960000000002</v>
      </c>
      <c r="J34" s="11">
        <f t="shared" si="11"/>
        <v>28982.688000000006</v>
      </c>
      <c r="K34" s="11">
        <f>K32*20%</f>
        <v>74</v>
      </c>
      <c r="L34" s="43">
        <f t="shared" si="2"/>
        <v>8.3280076314372255E-3</v>
      </c>
      <c r="M34" s="11">
        <f t="shared" si="3"/>
        <v>1258</v>
      </c>
      <c r="N34" s="11">
        <f t="shared" si="4"/>
        <v>35224</v>
      </c>
      <c r="O34" s="11">
        <f>O32*20%</f>
        <v>37</v>
      </c>
      <c r="P34" s="43">
        <f t="shared" si="5"/>
        <v>7.5953637052360527E-3</v>
      </c>
      <c r="Q34" s="11">
        <f t="shared" si="6"/>
        <v>3996</v>
      </c>
      <c r="R34" s="11">
        <f t="shared" si="7"/>
        <v>111888</v>
      </c>
      <c r="S34" s="16">
        <f t="shared" si="8"/>
        <v>6289.0960000000005</v>
      </c>
      <c r="T34" s="11">
        <f t="shared" si="9"/>
        <v>176094.68800000002</v>
      </c>
      <c r="U34" s="43">
        <f t="shared" si="10"/>
        <v>7.6950095456203961E-3</v>
      </c>
    </row>
    <row r="35" spans="1:21" x14ac:dyDescent="0.25">
      <c r="A35" s="128"/>
      <c r="B35" s="138"/>
      <c r="C35" s="21" t="s">
        <v>55</v>
      </c>
      <c r="D35" s="15" t="s">
        <v>96</v>
      </c>
      <c r="E35" s="131" t="s">
        <v>133</v>
      </c>
      <c r="F35" s="132"/>
      <c r="G35" s="11">
        <f>G32*0.2%</f>
        <v>0.30444000000000004</v>
      </c>
      <c r="H35" s="43">
        <f t="shared" si="1"/>
        <v>7.3867653362992211E-5</v>
      </c>
      <c r="I35" s="11">
        <f t="shared" si="12"/>
        <v>10.350960000000001</v>
      </c>
      <c r="J35" s="11">
        <f t="shared" si="11"/>
        <v>289.82688000000002</v>
      </c>
      <c r="K35" s="11">
        <f>K32*0.2%</f>
        <v>0.74</v>
      </c>
      <c r="L35" s="43">
        <f t="shared" si="2"/>
        <v>8.328007631437225E-5</v>
      </c>
      <c r="M35" s="11">
        <f t="shared" si="3"/>
        <v>12.58</v>
      </c>
      <c r="N35" s="11">
        <f t="shared" si="4"/>
        <v>352.24</v>
      </c>
      <c r="O35" s="11">
        <f>O32*0.2%</f>
        <v>0.37</v>
      </c>
      <c r="P35" s="43">
        <f t="shared" si="5"/>
        <v>7.5953637052360526E-5</v>
      </c>
      <c r="Q35" s="11">
        <f t="shared" si="6"/>
        <v>39.96</v>
      </c>
      <c r="R35" s="11">
        <f t="shared" si="7"/>
        <v>1118.8800000000001</v>
      </c>
      <c r="S35" s="16">
        <f t="shared" si="8"/>
        <v>62.89096</v>
      </c>
      <c r="T35" s="11">
        <f t="shared" si="9"/>
        <v>1760.94688</v>
      </c>
      <c r="U35" s="43">
        <f t="shared" si="10"/>
        <v>7.6950095456203949E-5</v>
      </c>
    </row>
    <row r="36" spans="1:21" x14ac:dyDescent="0.25">
      <c r="A36" s="128"/>
      <c r="B36" s="138"/>
      <c r="C36" s="21" t="s">
        <v>56</v>
      </c>
      <c r="D36" s="15" t="s">
        <v>111</v>
      </c>
      <c r="E36" s="131" t="s">
        <v>134</v>
      </c>
      <c r="F36" s="132"/>
      <c r="G36" s="11">
        <f>G32*1%</f>
        <v>1.5222000000000002</v>
      </c>
      <c r="H36" s="43">
        <f t="shared" si="1"/>
        <v>3.6933826681496106E-4</v>
      </c>
      <c r="I36" s="11">
        <f t="shared" si="12"/>
        <v>51.75480000000001</v>
      </c>
      <c r="J36" s="11">
        <f t="shared" si="11"/>
        <v>1449.1344000000004</v>
      </c>
      <c r="K36" s="11">
        <f>K32*1%</f>
        <v>3.7</v>
      </c>
      <c r="L36" s="43">
        <f t="shared" si="2"/>
        <v>4.1640038157186128E-4</v>
      </c>
      <c r="M36" s="11">
        <f t="shared" si="3"/>
        <v>62.900000000000006</v>
      </c>
      <c r="N36" s="11">
        <f t="shared" si="4"/>
        <v>1761.2000000000003</v>
      </c>
      <c r="O36" s="11">
        <f>O32*1%</f>
        <v>1.85</v>
      </c>
      <c r="P36" s="43">
        <f t="shared" si="5"/>
        <v>3.7976818526180264E-4</v>
      </c>
      <c r="Q36" s="11">
        <f t="shared" si="6"/>
        <v>199.8</v>
      </c>
      <c r="R36" s="11">
        <f t="shared" si="7"/>
        <v>5594.4000000000005</v>
      </c>
      <c r="S36" s="16">
        <f t="shared" si="8"/>
        <v>314.45480000000003</v>
      </c>
      <c r="T36" s="11">
        <f t="shared" si="9"/>
        <v>8804.7344000000012</v>
      </c>
      <c r="U36" s="43">
        <f t="shared" si="10"/>
        <v>3.8475047728101977E-4</v>
      </c>
    </row>
    <row r="37" spans="1:21" x14ac:dyDescent="0.25">
      <c r="A37" s="128"/>
      <c r="B37" s="138"/>
      <c r="C37" s="21" t="s">
        <v>57</v>
      </c>
      <c r="D37" s="15" t="s">
        <v>112</v>
      </c>
      <c r="E37" s="131" t="s">
        <v>135</v>
      </c>
      <c r="F37" s="132"/>
      <c r="G37" s="11">
        <f>G32*1.5%</f>
        <v>2.2833000000000001</v>
      </c>
      <c r="H37" s="43">
        <f t="shared" si="1"/>
        <v>5.5400740022244147E-4</v>
      </c>
      <c r="I37" s="11">
        <f>G37*$G$4</f>
        <v>77.632199999999997</v>
      </c>
      <c r="J37" s="11">
        <f t="shared" si="11"/>
        <v>2173.7015999999999</v>
      </c>
      <c r="K37" s="11">
        <f>K32*1.5%</f>
        <v>5.55</v>
      </c>
      <c r="L37" s="43">
        <f t="shared" si="2"/>
        <v>6.2460057235779181E-4</v>
      </c>
      <c r="M37" s="11">
        <f t="shared" si="3"/>
        <v>94.35</v>
      </c>
      <c r="N37" s="11">
        <f t="shared" si="4"/>
        <v>2641.7999999999997</v>
      </c>
      <c r="O37" s="11">
        <f>O32*1.5%</f>
        <v>2.7749999999999999</v>
      </c>
      <c r="P37" s="43">
        <f t="shared" si="5"/>
        <v>5.6965227789270388E-4</v>
      </c>
      <c r="Q37" s="11">
        <f t="shared" si="6"/>
        <v>299.7</v>
      </c>
      <c r="R37" s="11">
        <f t="shared" si="7"/>
        <v>8391.6</v>
      </c>
      <c r="S37" s="16">
        <f t="shared" si="8"/>
        <v>471.68219999999997</v>
      </c>
      <c r="T37" s="11">
        <f t="shared" si="9"/>
        <v>13207.101599999998</v>
      </c>
      <c r="U37" s="43">
        <f t="shared" si="10"/>
        <v>5.7712571592152958E-4</v>
      </c>
    </row>
    <row r="38" spans="1:21" x14ac:dyDescent="0.25">
      <c r="A38" s="128"/>
      <c r="B38" s="138"/>
      <c r="C38" s="21" t="s">
        <v>58</v>
      </c>
      <c r="D38" s="15" t="s">
        <v>113</v>
      </c>
      <c r="E38" s="131" t="s">
        <v>136</v>
      </c>
      <c r="F38" s="132"/>
      <c r="G38" s="11">
        <f>G32*0.6%</f>
        <v>0.91332000000000013</v>
      </c>
      <c r="H38" s="43">
        <f t="shared" si="1"/>
        <v>2.2160296008897663E-4</v>
      </c>
      <c r="I38" s="11">
        <f t="shared" si="12"/>
        <v>31.052880000000005</v>
      </c>
      <c r="J38" s="11">
        <f t="shared" si="11"/>
        <v>869.48064000000011</v>
      </c>
      <c r="K38" s="11">
        <f>K32*0.6%</f>
        <v>2.2200000000000002</v>
      </c>
      <c r="L38" s="43">
        <f t="shared" si="2"/>
        <v>2.4984022894311678E-4</v>
      </c>
      <c r="M38" s="11">
        <f t="shared" si="3"/>
        <v>37.74</v>
      </c>
      <c r="N38" s="11">
        <f t="shared" si="4"/>
        <v>1056.72</v>
      </c>
      <c r="O38" s="11">
        <f>O32*0.6%</f>
        <v>1.1100000000000001</v>
      </c>
      <c r="P38" s="43">
        <f t="shared" si="5"/>
        <v>2.2786091115708159E-4</v>
      </c>
      <c r="Q38" s="11">
        <f t="shared" si="6"/>
        <v>119.88000000000001</v>
      </c>
      <c r="R38" s="11">
        <f t="shared" si="7"/>
        <v>3356.6400000000003</v>
      </c>
      <c r="S38" s="16">
        <f t="shared" si="8"/>
        <v>188.67288000000002</v>
      </c>
      <c r="T38" s="11">
        <f t="shared" si="9"/>
        <v>5282.8406400000003</v>
      </c>
      <c r="U38" s="43">
        <f t="shared" si="10"/>
        <v>2.3085028636861188E-4</v>
      </c>
    </row>
    <row r="39" spans="1:21" x14ac:dyDescent="0.25">
      <c r="A39" s="128"/>
      <c r="B39" s="138"/>
      <c r="C39" s="21" t="s">
        <v>59</v>
      </c>
      <c r="D39" s="22" t="s">
        <v>14</v>
      </c>
      <c r="E39" s="131" t="s">
        <v>132</v>
      </c>
      <c r="F39" s="132"/>
      <c r="G39" s="11">
        <f>G32*2.5%</f>
        <v>3.8055000000000008</v>
      </c>
      <c r="H39" s="43">
        <f t="shared" si="1"/>
        <v>9.2334566703740264E-4</v>
      </c>
      <c r="I39" s="11">
        <f t="shared" si="12"/>
        <v>129.38700000000003</v>
      </c>
      <c r="J39" s="11">
        <f t="shared" si="11"/>
        <v>3622.8360000000007</v>
      </c>
      <c r="K39" s="11">
        <f>K32*2.5%</f>
        <v>9.25</v>
      </c>
      <c r="L39" s="43">
        <f t="shared" si="2"/>
        <v>1.0410009539296532E-3</v>
      </c>
      <c r="M39" s="11">
        <f t="shared" si="3"/>
        <v>157.25</v>
      </c>
      <c r="N39" s="11">
        <f t="shared" si="4"/>
        <v>4403</v>
      </c>
      <c r="O39" s="11">
        <f>O32*2.5%</f>
        <v>4.625</v>
      </c>
      <c r="P39" s="43">
        <f t="shared" si="5"/>
        <v>9.4942046315450658E-4</v>
      </c>
      <c r="Q39" s="11">
        <f t="shared" si="6"/>
        <v>499.5</v>
      </c>
      <c r="R39" s="11">
        <f t="shared" si="7"/>
        <v>13986</v>
      </c>
      <c r="S39" s="16">
        <f t="shared" si="8"/>
        <v>786.13700000000006</v>
      </c>
      <c r="T39" s="11">
        <f t="shared" si="9"/>
        <v>22011.836000000003</v>
      </c>
      <c r="U39" s="43">
        <f t="shared" si="10"/>
        <v>9.6187619320254952E-4</v>
      </c>
    </row>
    <row r="40" spans="1:21" x14ac:dyDescent="0.25">
      <c r="A40" s="128"/>
      <c r="B40" s="138"/>
      <c r="C40" s="24" t="s">
        <v>63</v>
      </c>
      <c r="D40" s="15" t="s">
        <v>16</v>
      </c>
      <c r="E40" s="133" t="s">
        <v>222</v>
      </c>
      <c r="F40" s="134"/>
      <c r="G40" s="11">
        <f>G32*2.029%</f>
        <v>3.0885438000000005</v>
      </c>
      <c r="H40" s="43">
        <f t="shared" si="1"/>
        <v>7.4938734336755597E-4</v>
      </c>
      <c r="I40" s="11">
        <f t="shared" si="12"/>
        <v>105.01048920000002</v>
      </c>
      <c r="J40" s="11">
        <f t="shared" si="11"/>
        <v>2940.2936976000005</v>
      </c>
      <c r="K40" s="11">
        <f>K32*2.029%</f>
        <v>7.5072999999999999</v>
      </c>
      <c r="L40" s="43">
        <f t="shared" si="2"/>
        <v>8.4487637420930649E-4</v>
      </c>
      <c r="M40" s="11">
        <f t="shared" si="3"/>
        <v>127.6241</v>
      </c>
      <c r="N40" s="11">
        <f t="shared" si="4"/>
        <v>3573.4748</v>
      </c>
      <c r="O40" s="11">
        <f>O32*2.029%</f>
        <v>3.7536499999999999</v>
      </c>
      <c r="P40" s="43">
        <f t="shared" si="5"/>
        <v>7.7054964789619745E-4</v>
      </c>
      <c r="Q40" s="11">
        <f t="shared" si="6"/>
        <v>405.39420000000001</v>
      </c>
      <c r="R40" s="11">
        <f t="shared" si="7"/>
        <v>11351.0376</v>
      </c>
      <c r="S40" s="16">
        <f t="shared" si="8"/>
        <v>638.02878920000001</v>
      </c>
      <c r="T40" s="11">
        <f t="shared" si="9"/>
        <v>17864.806097600002</v>
      </c>
      <c r="U40" s="43">
        <f t="shared" si="10"/>
        <v>7.8065871840318909E-4</v>
      </c>
    </row>
    <row r="41" spans="1:21" x14ac:dyDescent="0.25">
      <c r="A41" s="128"/>
      <c r="B41" s="139"/>
      <c r="C41" s="17" t="s">
        <v>64</v>
      </c>
      <c r="D41" s="18" t="s">
        <v>7</v>
      </c>
      <c r="E41" s="135" t="s">
        <v>129</v>
      </c>
      <c r="F41" s="136"/>
      <c r="G41" s="19">
        <f>SUM(G32:G40)</f>
        <v>206.75890380000004</v>
      </c>
      <c r="H41" s="42">
        <f t="shared" si="1"/>
        <v>5.0166847443209345E-2</v>
      </c>
      <c r="I41" s="19">
        <f>G41*$G$4</f>
        <v>7029.8027292000015</v>
      </c>
      <c r="J41" s="19">
        <f t="shared" si="11"/>
        <v>196834.47641760003</v>
      </c>
      <c r="K41" s="19">
        <f>SUM(K32:K40)</f>
        <v>502.56730000000005</v>
      </c>
      <c r="L41" s="42">
        <f t="shared" si="2"/>
        <v>5.6559247428524348E-2</v>
      </c>
      <c r="M41" s="19">
        <f t="shared" si="3"/>
        <v>8543.6441000000013</v>
      </c>
      <c r="N41" s="19">
        <f t="shared" si="4"/>
        <v>239222.03480000002</v>
      </c>
      <c r="O41" s="19">
        <f>SUM(O32:O40)</f>
        <v>251.28365000000002</v>
      </c>
      <c r="P41" s="42">
        <f t="shared" si="5"/>
        <v>5.1583532835925393E-2</v>
      </c>
      <c r="Q41" s="19">
        <f t="shared" si="6"/>
        <v>27138.634200000004</v>
      </c>
      <c r="R41" s="19">
        <f t="shared" si="7"/>
        <v>759881.75760000013</v>
      </c>
      <c r="S41" s="19">
        <f t="shared" si="8"/>
        <v>42712.08102920001</v>
      </c>
      <c r="T41" s="19">
        <f t="shared" si="9"/>
        <v>1195938.2688176003</v>
      </c>
      <c r="U41" s="42">
        <f t="shared" si="10"/>
        <v>5.2260272578603648E-2</v>
      </c>
    </row>
    <row r="42" spans="1:21" ht="15" customHeight="1" x14ac:dyDescent="0.25">
      <c r="A42" s="128"/>
      <c r="B42" s="137" t="s">
        <v>74</v>
      </c>
      <c r="C42" s="21" t="s">
        <v>65</v>
      </c>
      <c r="D42" s="22" t="s">
        <v>2</v>
      </c>
      <c r="E42" s="149" t="s">
        <v>174</v>
      </c>
      <c r="F42" s="150"/>
      <c r="G42" s="11">
        <f>I4/30*(28.1028*28/12)/28</f>
        <v>142.59360720000001</v>
      </c>
      <c r="H42" s="43">
        <f t="shared" si="1"/>
        <v>3.459813148215829E-2</v>
      </c>
      <c r="I42" s="11">
        <f t="shared" si="12"/>
        <v>4848.1826448000002</v>
      </c>
      <c r="J42" s="11">
        <f t="shared" si="11"/>
        <v>135749.11405440001</v>
      </c>
      <c r="K42" s="11">
        <f>M4/30*(26.6339*28/12)/28</f>
        <v>328.48476666666664</v>
      </c>
      <c r="L42" s="43">
        <f t="shared" si="2"/>
        <v>3.6967887075822652E-2</v>
      </c>
      <c r="M42" s="11">
        <f t="shared" si="3"/>
        <v>5584.2410333333328</v>
      </c>
      <c r="N42" s="11">
        <f t="shared" si="4"/>
        <v>156358.74893333332</v>
      </c>
      <c r="O42" s="11">
        <f>Q4/30*(26.6339*28/12)/28</f>
        <v>164.24238333333332</v>
      </c>
      <c r="P42" s="43">
        <f t="shared" si="5"/>
        <v>3.3715692898147749E-2</v>
      </c>
      <c r="Q42" s="11">
        <f t="shared" si="6"/>
        <v>17738.1774</v>
      </c>
      <c r="R42" s="11">
        <f t="shared" si="7"/>
        <v>496668.96720000001</v>
      </c>
      <c r="S42" s="16">
        <f t="shared" si="8"/>
        <v>28170.601078133332</v>
      </c>
      <c r="T42" s="11">
        <f t="shared" si="9"/>
        <v>788776.83018773329</v>
      </c>
      <c r="U42" s="43">
        <f t="shared" si="10"/>
        <v>3.4468076843174308E-2</v>
      </c>
    </row>
    <row r="43" spans="1:21" ht="15" customHeight="1" x14ac:dyDescent="0.25">
      <c r="A43" s="128"/>
      <c r="B43" s="138"/>
      <c r="C43" s="21" t="s">
        <v>77</v>
      </c>
      <c r="D43" s="22" t="s">
        <v>48</v>
      </c>
      <c r="E43" s="149" t="s">
        <v>175</v>
      </c>
      <c r="F43" s="150"/>
      <c r="G43" s="11">
        <f>G21/30*(28.1028*28/12)/28</f>
        <v>55.106472727428574</v>
      </c>
      <c r="H43" s="43">
        <f t="shared" si="1"/>
        <v>1.3370732576162387E-2</v>
      </c>
      <c r="I43" s="11">
        <f t="shared" si="12"/>
        <v>1873.6200727325715</v>
      </c>
      <c r="J43" s="11">
        <f t="shared" si="11"/>
        <v>52461.362036512</v>
      </c>
      <c r="K43" s="11">
        <f>K21/30*(26.6339*28/12)/28</f>
        <v>48.502551391666671</v>
      </c>
      <c r="L43" s="43">
        <f t="shared" si="2"/>
        <v>5.4585083531618409E-3</v>
      </c>
      <c r="M43" s="11">
        <f t="shared" si="3"/>
        <v>824.54337365833339</v>
      </c>
      <c r="N43" s="11">
        <f t="shared" si="4"/>
        <v>23087.214462433334</v>
      </c>
      <c r="O43" s="11">
        <f>O21/30*(26.6339*28/12)/28</f>
        <v>50.604727070238098</v>
      </c>
      <c r="P43" s="43">
        <f t="shared" si="5"/>
        <v>1.0388143440612507E-2</v>
      </c>
      <c r="Q43" s="11">
        <f t="shared" si="6"/>
        <v>5465.3105235857147</v>
      </c>
      <c r="R43" s="11">
        <f t="shared" si="7"/>
        <v>153028.69466040001</v>
      </c>
      <c r="S43" s="16">
        <f t="shared" si="8"/>
        <v>8163.4739699766196</v>
      </c>
      <c r="T43" s="11">
        <f t="shared" si="9"/>
        <v>228577.27115934534</v>
      </c>
      <c r="U43" s="43">
        <f t="shared" si="10"/>
        <v>9.9884005784605136E-3</v>
      </c>
    </row>
    <row r="44" spans="1:21" ht="15" customHeight="1" x14ac:dyDescent="0.25">
      <c r="A44" s="128"/>
      <c r="B44" s="138"/>
      <c r="C44" s="21" t="s">
        <v>78</v>
      </c>
      <c r="D44" s="22" t="s">
        <v>72</v>
      </c>
      <c r="E44" s="149" t="s">
        <v>101</v>
      </c>
      <c r="F44" s="150"/>
      <c r="G44" s="11">
        <f>(I4+I4/3)/12/28</f>
        <v>7.2485714285714291</v>
      </c>
      <c r="H44" s="43">
        <f t="shared" si="1"/>
        <v>1.7587536514998144E-3</v>
      </c>
      <c r="I44" s="11">
        <f t="shared" si="12"/>
        <v>246.45142857142858</v>
      </c>
      <c r="J44" s="11">
        <f t="shared" si="11"/>
        <v>6900.64</v>
      </c>
      <c r="K44" s="11">
        <f>(M4+M4/3)/12/28</f>
        <v>17.619047619047617</v>
      </c>
      <c r="L44" s="43">
        <f t="shared" si="2"/>
        <v>1.9828589598660058E-3</v>
      </c>
      <c r="M44" s="11">
        <f t="shared" si="3"/>
        <v>299.52380952380946</v>
      </c>
      <c r="N44" s="11">
        <f t="shared" si="4"/>
        <v>8386.6666666666642</v>
      </c>
      <c r="O44" s="11">
        <f>(Q4+Q4/3)/12/28</f>
        <v>8.8095238095238084</v>
      </c>
      <c r="P44" s="43">
        <f t="shared" si="5"/>
        <v>1.8084199298181074E-3</v>
      </c>
      <c r="Q44" s="11">
        <f t="shared" si="6"/>
        <v>951.42857142857133</v>
      </c>
      <c r="R44" s="11">
        <f t="shared" si="7"/>
        <v>26639.999999999996</v>
      </c>
      <c r="S44" s="16">
        <f t="shared" si="8"/>
        <v>1497.4038095238093</v>
      </c>
      <c r="T44" s="11">
        <f t="shared" si="9"/>
        <v>41927.306666666656</v>
      </c>
      <c r="U44" s="43">
        <f t="shared" si="10"/>
        <v>1.8321451299096174E-3</v>
      </c>
    </row>
    <row r="45" spans="1:21" ht="15" customHeight="1" x14ac:dyDescent="0.25">
      <c r="A45" s="128"/>
      <c r="B45" s="138"/>
      <c r="C45" s="21" t="s">
        <v>83</v>
      </c>
      <c r="D45" s="22" t="s">
        <v>39</v>
      </c>
      <c r="E45" s="149" t="s">
        <v>79</v>
      </c>
      <c r="F45" s="150"/>
      <c r="G45" s="11">
        <f>I4/12/28</f>
        <v>5.4364285714285714</v>
      </c>
      <c r="H45" s="43">
        <f t="shared" si="1"/>
        <v>1.3190652386248607E-3</v>
      </c>
      <c r="I45" s="11">
        <f t="shared" si="12"/>
        <v>184.83857142857141</v>
      </c>
      <c r="J45" s="11">
        <f t="shared" si="11"/>
        <v>5175.4799999999996</v>
      </c>
      <c r="K45" s="11">
        <f>M4/12/28</f>
        <v>13.214285714285714</v>
      </c>
      <c r="L45" s="43">
        <f t="shared" si="2"/>
        <v>1.4871442198995043E-3</v>
      </c>
      <c r="M45" s="11">
        <f t="shared" si="3"/>
        <v>224.64285714285714</v>
      </c>
      <c r="N45" s="11">
        <f t="shared" si="4"/>
        <v>6290</v>
      </c>
      <c r="O45" s="11">
        <f>Q4/12/28</f>
        <v>6.6071428571428568</v>
      </c>
      <c r="P45" s="43">
        <f t="shared" si="5"/>
        <v>1.3563149473635808E-3</v>
      </c>
      <c r="Q45" s="11">
        <f t="shared" si="6"/>
        <v>713.57142857142856</v>
      </c>
      <c r="R45" s="11">
        <f t="shared" si="7"/>
        <v>19980</v>
      </c>
      <c r="S45" s="16">
        <f t="shared" si="8"/>
        <v>1123.0528571428572</v>
      </c>
      <c r="T45" s="11">
        <f t="shared" si="9"/>
        <v>31445.480000000003</v>
      </c>
      <c r="U45" s="43">
        <f t="shared" si="10"/>
        <v>1.3741088474322136E-3</v>
      </c>
    </row>
    <row r="46" spans="1:21" x14ac:dyDescent="0.25">
      <c r="A46" s="128"/>
      <c r="B46" s="138"/>
      <c r="C46" s="21" t="s">
        <v>84</v>
      </c>
      <c r="D46" s="22" t="s">
        <v>9</v>
      </c>
      <c r="E46" s="131" t="s">
        <v>138</v>
      </c>
      <c r="F46" s="132"/>
      <c r="G46" s="11">
        <f>(G42+G44+G45)*8%</f>
        <v>12.422288576000001</v>
      </c>
      <c r="H46" s="43">
        <f t="shared" si="1"/>
        <v>3.0140760297826374E-3</v>
      </c>
      <c r="I46" s="11">
        <f t="shared" si="12"/>
        <v>422.35781158400005</v>
      </c>
      <c r="J46" s="11">
        <f t="shared" si="11"/>
        <v>11826.018724352001</v>
      </c>
      <c r="K46" s="11">
        <f>(K42+K44+K45)*8%</f>
        <v>28.745447999999996</v>
      </c>
      <c r="L46" s="43">
        <f t="shared" si="2"/>
        <v>3.2350312204470523E-3</v>
      </c>
      <c r="M46" s="11">
        <f t="shared" si="3"/>
        <v>488.67261599999995</v>
      </c>
      <c r="N46" s="11">
        <f t="shared" si="4"/>
        <v>13682.833247999999</v>
      </c>
      <c r="O46" s="11">
        <f>(O42+O44+O45)*8%</f>
        <v>14.372723999999998</v>
      </c>
      <c r="P46" s="43">
        <f t="shared" si="5"/>
        <v>2.9504342220263544E-3</v>
      </c>
      <c r="Q46" s="11">
        <f t="shared" si="6"/>
        <v>1552.2541919999999</v>
      </c>
      <c r="R46" s="11">
        <f t="shared" si="7"/>
        <v>43463.117375999995</v>
      </c>
      <c r="S46" s="16">
        <f t="shared" si="8"/>
        <v>2463.2846195839998</v>
      </c>
      <c r="T46" s="11">
        <f t="shared" si="9"/>
        <v>68971.969348351995</v>
      </c>
      <c r="U46" s="43">
        <f t="shared" si="10"/>
        <v>3.0139464656412911E-3</v>
      </c>
    </row>
    <row r="47" spans="1:21" x14ac:dyDescent="0.25">
      <c r="A47" s="128"/>
      <c r="B47" s="138"/>
      <c r="C47" s="21" t="s">
        <v>86</v>
      </c>
      <c r="D47" s="22" t="s">
        <v>12</v>
      </c>
      <c r="E47" s="131" t="s">
        <v>139</v>
      </c>
      <c r="F47" s="132"/>
      <c r="G47" s="11">
        <f>(G42+G44+G45)*20%</f>
        <v>31.055721440000003</v>
      </c>
      <c r="H47" s="43">
        <f t="shared" si="1"/>
        <v>7.5351900744565926E-3</v>
      </c>
      <c r="I47" s="11">
        <f t="shared" si="12"/>
        <v>1055.8945289600001</v>
      </c>
      <c r="J47" s="11">
        <f t="shared" si="11"/>
        <v>29565.046810880005</v>
      </c>
      <c r="K47" s="11">
        <f>(K42+K44+K45)*20%</f>
        <v>71.863619999999997</v>
      </c>
      <c r="L47" s="43">
        <f t="shared" si="2"/>
        <v>8.0875780511176325E-3</v>
      </c>
      <c r="M47" s="11">
        <f t="shared" si="3"/>
        <v>1221.68154</v>
      </c>
      <c r="N47" s="11">
        <f t="shared" si="4"/>
        <v>34207.083120000003</v>
      </c>
      <c r="O47" s="11">
        <f>(O42+O44+O45)*20%</f>
        <v>35.931809999999999</v>
      </c>
      <c r="P47" s="43">
        <f t="shared" si="5"/>
        <v>7.3760855550658875E-3</v>
      </c>
      <c r="Q47" s="11">
        <f t="shared" si="6"/>
        <v>3880.6354799999999</v>
      </c>
      <c r="R47" s="11">
        <f t="shared" si="7"/>
        <v>108657.79343999999</v>
      </c>
      <c r="S47" s="16">
        <f t="shared" si="8"/>
        <v>6158.2115489600001</v>
      </c>
      <c r="T47" s="11">
        <f t="shared" si="9"/>
        <v>172429.92337088002</v>
      </c>
      <c r="U47" s="43">
        <f t="shared" si="10"/>
        <v>7.5348661641032296E-3</v>
      </c>
    </row>
    <row r="48" spans="1:21" x14ac:dyDescent="0.25">
      <c r="A48" s="128"/>
      <c r="B48" s="138"/>
      <c r="C48" s="21" t="s">
        <v>87</v>
      </c>
      <c r="D48" s="15" t="s">
        <v>96</v>
      </c>
      <c r="E48" s="131" t="s">
        <v>140</v>
      </c>
      <c r="F48" s="132"/>
      <c r="G48" s="11">
        <f>(G42+G44+G45)*0.2%</f>
        <v>0.3105572144</v>
      </c>
      <c r="H48" s="43">
        <f t="shared" si="1"/>
        <v>7.5351900744565921E-5</v>
      </c>
      <c r="I48" s="11">
        <f t="shared" si="12"/>
        <v>10.5589452896</v>
      </c>
      <c r="J48" s="11">
        <f t="shared" si="11"/>
        <v>295.6504681088</v>
      </c>
      <c r="K48" s="11">
        <f>(K42+K44+K45)*0.2%</f>
        <v>0.71863619999999995</v>
      </c>
      <c r="L48" s="43">
        <f t="shared" si="2"/>
        <v>8.0875780511176321E-5</v>
      </c>
      <c r="M48" s="11">
        <f t="shared" si="3"/>
        <v>12.2168154</v>
      </c>
      <c r="N48" s="11">
        <f t="shared" si="4"/>
        <v>342.07083119999999</v>
      </c>
      <c r="O48" s="11">
        <f>(O42+O44+O45)*0.2%</f>
        <v>0.35931809999999997</v>
      </c>
      <c r="P48" s="43">
        <f t="shared" si="5"/>
        <v>7.3760855550658868E-5</v>
      </c>
      <c r="Q48" s="11">
        <f t="shared" si="6"/>
        <v>38.806354799999994</v>
      </c>
      <c r="R48" s="11">
        <f t="shared" si="7"/>
        <v>1086.5779343999998</v>
      </c>
      <c r="S48" s="16">
        <f t="shared" si="8"/>
        <v>61.582115489599992</v>
      </c>
      <c r="T48" s="11">
        <f t="shared" si="9"/>
        <v>1724.2992337087999</v>
      </c>
      <c r="U48" s="43">
        <f t="shared" si="10"/>
        <v>7.5348661641032284E-5</v>
      </c>
    </row>
    <row r="49" spans="1:26" x14ac:dyDescent="0.25">
      <c r="A49" s="128"/>
      <c r="B49" s="138"/>
      <c r="C49" s="21" t="s">
        <v>88</v>
      </c>
      <c r="D49" s="15" t="s">
        <v>111</v>
      </c>
      <c r="E49" s="131" t="s">
        <v>141</v>
      </c>
      <c r="F49" s="132"/>
      <c r="G49" s="11">
        <f>(G42+G44+G45)*1%</f>
        <v>1.5527860720000002</v>
      </c>
      <c r="H49" s="43">
        <f t="shared" si="1"/>
        <v>3.7675950372282967E-4</v>
      </c>
      <c r="I49" s="11">
        <f t="shared" si="12"/>
        <v>52.794726448000006</v>
      </c>
      <c r="J49" s="11">
        <f t="shared" si="11"/>
        <v>1478.2523405440002</v>
      </c>
      <c r="K49" s="11">
        <f>(K42+K44+K45)*1%</f>
        <v>3.5931809999999995</v>
      </c>
      <c r="L49" s="43">
        <f t="shared" si="2"/>
        <v>4.0437890255588154E-4</v>
      </c>
      <c r="M49" s="11">
        <f t="shared" si="3"/>
        <v>61.084076999999994</v>
      </c>
      <c r="N49" s="11">
        <f t="shared" si="4"/>
        <v>1710.3541559999999</v>
      </c>
      <c r="O49" s="11">
        <f>(O42+O44+O45)*1%</f>
        <v>1.7965904999999998</v>
      </c>
      <c r="P49" s="43">
        <f t="shared" si="5"/>
        <v>3.688042777532943E-4</v>
      </c>
      <c r="Q49" s="11">
        <f t="shared" si="6"/>
        <v>194.03177399999998</v>
      </c>
      <c r="R49" s="11">
        <f t="shared" si="7"/>
        <v>5432.8896719999993</v>
      </c>
      <c r="S49" s="16">
        <f t="shared" si="8"/>
        <v>307.91057744799997</v>
      </c>
      <c r="T49" s="11">
        <f t="shared" si="9"/>
        <v>8621.4961685439994</v>
      </c>
      <c r="U49" s="43">
        <f t="shared" si="10"/>
        <v>3.7674330820516139E-4</v>
      </c>
    </row>
    <row r="50" spans="1:26" x14ac:dyDescent="0.25">
      <c r="A50" s="128"/>
      <c r="B50" s="138"/>
      <c r="C50" s="21" t="s">
        <v>89</v>
      </c>
      <c r="D50" s="15" t="s">
        <v>112</v>
      </c>
      <c r="E50" s="131" t="s">
        <v>142</v>
      </c>
      <c r="F50" s="132"/>
      <c r="G50" s="11">
        <f>(G42+G44+G45)*1.5%</f>
        <v>2.3291791079999999</v>
      </c>
      <c r="H50" s="43">
        <f t="shared" si="1"/>
        <v>5.651392555842444E-4</v>
      </c>
      <c r="I50" s="11">
        <f t="shared" si="12"/>
        <v>79.192089671999994</v>
      </c>
      <c r="J50" s="11">
        <f t="shared" si="11"/>
        <v>2217.378510816</v>
      </c>
      <c r="K50" s="11">
        <f>(K42+K44+K45)*1.5%</f>
        <v>5.3897714999999993</v>
      </c>
      <c r="L50" s="43">
        <f t="shared" si="2"/>
        <v>6.0656835383382231E-4</v>
      </c>
      <c r="M50" s="11">
        <f t="shared" si="3"/>
        <v>91.626115499999983</v>
      </c>
      <c r="N50" s="11">
        <f t="shared" si="4"/>
        <v>2565.5312339999996</v>
      </c>
      <c r="O50" s="11">
        <f>(O42+O44+O45)*1.5%</f>
        <v>2.6948857499999996</v>
      </c>
      <c r="P50" s="43">
        <f t="shared" si="5"/>
        <v>5.5320641662994147E-4</v>
      </c>
      <c r="Q50" s="11">
        <f t="shared" si="6"/>
        <v>291.04766099999995</v>
      </c>
      <c r="R50" s="11">
        <f t="shared" si="7"/>
        <v>8149.3345079999981</v>
      </c>
      <c r="S50" s="16">
        <f t="shared" si="8"/>
        <v>461.86586617199993</v>
      </c>
      <c r="T50" s="11">
        <f t="shared" si="9"/>
        <v>12932.244252815997</v>
      </c>
      <c r="U50" s="43">
        <f t="shared" si="10"/>
        <v>5.6511496230774198E-4</v>
      </c>
    </row>
    <row r="51" spans="1:26" x14ac:dyDescent="0.25">
      <c r="A51" s="128"/>
      <c r="B51" s="138"/>
      <c r="C51" s="21" t="s">
        <v>90</v>
      </c>
      <c r="D51" s="15" t="s">
        <v>113</v>
      </c>
      <c r="E51" s="131" t="s">
        <v>143</v>
      </c>
      <c r="F51" s="132"/>
      <c r="G51" s="11">
        <f>(G42+G44+G45)*0.6%</f>
        <v>0.93167164320000007</v>
      </c>
      <c r="H51" s="43">
        <f t="shared" si="1"/>
        <v>2.2605570223369778E-4</v>
      </c>
      <c r="I51" s="11">
        <f t="shared" si="12"/>
        <v>31.676835868800001</v>
      </c>
      <c r="J51" s="11">
        <f t="shared" si="11"/>
        <v>886.95140432640005</v>
      </c>
      <c r="K51" s="11">
        <f>(K42+K44+K45)*0.6%</f>
        <v>2.1559085999999996</v>
      </c>
      <c r="L51" s="43">
        <f t="shared" si="2"/>
        <v>2.4262734153352892E-4</v>
      </c>
      <c r="M51" s="11">
        <f t="shared" si="3"/>
        <v>36.65044619999999</v>
      </c>
      <c r="N51" s="11">
        <f t="shared" si="4"/>
        <v>1026.2124935999998</v>
      </c>
      <c r="O51" s="11">
        <f>(O42+O44+O45)*0.6%</f>
        <v>1.0779542999999998</v>
      </c>
      <c r="P51" s="43">
        <f t="shared" si="5"/>
        <v>2.2128256665197659E-4</v>
      </c>
      <c r="Q51" s="11">
        <f t="shared" si="6"/>
        <v>116.41906439999998</v>
      </c>
      <c r="R51" s="11">
        <f t="shared" si="7"/>
        <v>3259.7338031999993</v>
      </c>
      <c r="S51" s="16">
        <f t="shared" si="8"/>
        <v>184.74634646879997</v>
      </c>
      <c r="T51" s="11">
        <f t="shared" si="9"/>
        <v>5172.8977011263996</v>
      </c>
      <c r="U51" s="43">
        <f t="shared" si="10"/>
        <v>2.2604598492309685E-4</v>
      </c>
    </row>
    <row r="52" spans="1:26" s="73" customFormat="1" x14ac:dyDescent="0.25">
      <c r="A52" s="128"/>
      <c r="B52" s="138"/>
      <c r="C52" s="24" t="s">
        <v>91</v>
      </c>
      <c r="D52" s="15" t="s">
        <v>14</v>
      </c>
      <c r="E52" s="131" t="s">
        <v>215</v>
      </c>
      <c r="F52" s="132"/>
      <c r="G52" s="16">
        <f>(G42+G44+G45)*2.5%</f>
        <v>3.8819651800000003</v>
      </c>
      <c r="H52" s="41">
        <f t="shared" si="1"/>
        <v>9.4189875930707407E-4</v>
      </c>
      <c r="I52" s="16">
        <f t="shared" si="12"/>
        <v>131.98681612000001</v>
      </c>
      <c r="J52" s="16">
        <f t="shared" si="11"/>
        <v>3695.6308513600006</v>
      </c>
      <c r="K52" s="16">
        <f>(K42+K44+K45)*2.5%</f>
        <v>8.9829524999999997</v>
      </c>
      <c r="L52" s="41">
        <f t="shared" si="2"/>
        <v>1.0109472563897041E-3</v>
      </c>
      <c r="M52" s="16">
        <f t="shared" si="3"/>
        <v>152.71019250000001</v>
      </c>
      <c r="N52" s="16">
        <f t="shared" si="4"/>
        <v>4275.8853900000004</v>
      </c>
      <c r="O52" s="16">
        <f>(O42+O44+O45)*2.5%</f>
        <v>4.4914762499999998</v>
      </c>
      <c r="P52" s="41">
        <f t="shared" si="5"/>
        <v>9.2201069438323593E-4</v>
      </c>
      <c r="Q52" s="16">
        <f t="shared" si="6"/>
        <v>485.07943499999999</v>
      </c>
      <c r="R52" s="16">
        <f t="shared" si="7"/>
        <v>13582.224179999999</v>
      </c>
      <c r="S52" s="16">
        <f t="shared" si="8"/>
        <v>769.77644362000001</v>
      </c>
      <c r="T52" s="16">
        <f t="shared" si="9"/>
        <v>21553.740421360002</v>
      </c>
      <c r="U52" s="41">
        <f t="shared" si="10"/>
        <v>9.418582705129037E-4</v>
      </c>
      <c r="Z52" s="74"/>
    </row>
    <row r="53" spans="1:26" s="73" customFormat="1" x14ac:dyDescent="0.25">
      <c r="A53" s="128"/>
      <c r="B53" s="138"/>
      <c r="C53" s="24" t="s">
        <v>92</v>
      </c>
      <c r="D53" s="15" t="s">
        <v>16</v>
      </c>
      <c r="E53" s="133" t="s">
        <v>221</v>
      </c>
      <c r="F53" s="134"/>
      <c r="G53" s="16">
        <f>(G42+G44+G45)*2.029%</f>
        <v>3.150602940088</v>
      </c>
      <c r="H53" s="41">
        <f t="shared" si="1"/>
        <v>7.6444503305362124E-4</v>
      </c>
      <c r="I53" s="16">
        <f t="shared" ref="I53:I69" si="13">G53*$G$4</f>
        <v>107.120499962992</v>
      </c>
      <c r="J53" s="16">
        <f t="shared" si="11"/>
        <v>2999.3739989637761</v>
      </c>
      <c r="K53" s="16">
        <f>(K42+K44+K45)*2.029%</f>
        <v>7.2905642489999991</v>
      </c>
      <c r="L53" s="41">
        <f t="shared" si="2"/>
        <v>8.2048479328588372E-4</v>
      </c>
      <c r="M53" s="16">
        <f t="shared" si="3"/>
        <v>123.93959223299998</v>
      </c>
      <c r="N53" s="16">
        <f t="shared" si="4"/>
        <v>3470.3085825239996</v>
      </c>
      <c r="O53" s="16">
        <f>(O42+O44+O45)*2.029%</f>
        <v>3.6452821244999996</v>
      </c>
      <c r="P53" s="41">
        <f t="shared" si="5"/>
        <v>7.4830387956143418E-4</v>
      </c>
      <c r="Q53" s="16">
        <f t="shared" si="6"/>
        <v>393.69046944599995</v>
      </c>
      <c r="R53" s="16">
        <f t="shared" si="7"/>
        <v>11023.333144487999</v>
      </c>
      <c r="S53" s="16">
        <f t="shared" si="8"/>
        <v>624.75056164199191</v>
      </c>
      <c r="T53" s="16">
        <f t="shared" si="9"/>
        <v>17493.015725975773</v>
      </c>
      <c r="U53" s="41">
        <f t="shared" si="10"/>
        <v>7.6441217234827238E-4</v>
      </c>
      <c r="Z53" s="74"/>
    </row>
    <row r="54" spans="1:26" x14ac:dyDescent="0.25">
      <c r="A54" s="128"/>
      <c r="B54" s="139"/>
      <c r="C54" s="17" t="s">
        <v>105</v>
      </c>
      <c r="D54" s="18" t="s">
        <v>7</v>
      </c>
      <c r="E54" s="135" t="s">
        <v>137</v>
      </c>
      <c r="F54" s="136"/>
      <c r="G54" s="19">
        <f>SUM(G42:G53)</f>
        <v>266.01985210111661</v>
      </c>
      <c r="H54" s="42">
        <f>G54/$G$80</f>
        <v>6.454559920733062E-2</v>
      </c>
      <c r="I54" s="19">
        <f t="shared" si="13"/>
        <v>9044.6749714379657</v>
      </c>
      <c r="J54" s="19">
        <f t="shared" si="11"/>
        <v>253250.89920026303</v>
      </c>
      <c r="K54" s="19">
        <f>SUM(K42:K53)</f>
        <v>536.56073344066658</v>
      </c>
      <c r="L54" s="42">
        <f t="shared" si="2"/>
        <v>6.0384890308424678E-2</v>
      </c>
      <c r="M54" s="19">
        <f t="shared" si="3"/>
        <v>9121.5324684913321</v>
      </c>
      <c r="N54" s="19">
        <f t="shared" si="4"/>
        <v>255402.90911775728</v>
      </c>
      <c r="O54" s="19">
        <f>SUM(O42:O53)</f>
        <v>294.6338180947381</v>
      </c>
      <c r="P54" s="42">
        <f t="shared" si="5"/>
        <v>6.0482459683564728E-2</v>
      </c>
      <c r="Q54" s="19">
        <f t="shared" si="6"/>
        <v>31820.452354231715</v>
      </c>
      <c r="R54" s="19">
        <f t="shared" si="7"/>
        <v>890972.66591848806</v>
      </c>
      <c r="S54" s="112">
        <f t="shared" si="8"/>
        <v>49986.659794161009</v>
      </c>
      <c r="T54" s="19">
        <f t="shared" si="9"/>
        <v>1399626.4742365084</v>
      </c>
      <c r="U54" s="42">
        <f t="shared" si="10"/>
        <v>6.1161067388659389E-2</v>
      </c>
      <c r="V54" s="3"/>
    </row>
    <row r="55" spans="1:26" x14ac:dyDescent="0.25">
      <c r="A55" s="128"/>
      <c r="B55" s="137" t="s">
        <v>32</v>
      </c>
      <c r="C55" s="24" t="s">
        <v>106</v>
      </c>
      <c r="D55" s="15" t="s">
        <v>40</v>
      </c>
      <c r="E55" s="149" t="s">
        <v>103</v>
      </c>
      <c r="F55" s="150"/>
      <c r="G55" s="16">
        <f>((I4/30*33)*21.36%)/28</f>
        <v>15.328119085714286</v>
      </c>
      <c r="H55" s="41">
        <f t="shared" si="1"/>
        <v>3.7191308216075673E-3</v>
      </c>
      <c r="I55" s="16">
        <f t="shared" si="13"/>
        <v>521.15604891428575</v>
      </c>
      <c r="J55" s="16">
        <f t="shared" si="11"/>
        <v>14592.369369600001</v>
      </c>
      <c r="K55" s="16">
        <f>((M4/30*33)*21.36%)/28</f>
        <v>37.257942857142851</v>
      </c>
      <c r="L55" s="41">
        <f t="shared" si="2"/>
        <v>4.1930328708910504E-3</v>
      </c>
      <c r="M55" s="16">
        <f t="shared" si="3"/>
        <v>633.38502857142851</v>
      </c>
      <c r="N55" s="16">
        <f t="shared" si="4"/>
        <v>17734.780799999997</v>
      </c>
      <c r="O55" s="16">
        <f>((Q4/30*33)*21.36%)/28</f>
        <v>18.628971428571425</v>
      </c>
      <c r="P55" s="41">
        <f t="shared" si="5"/>
        <v>3.8241571203905624E-3</v>
      </c>
      <c r="Q55" s="16">
        <f t="shared" si="6"/>
        <v>2011.928914285714</v>
      </c>
      <c r="R55" s="16">
        <f t="shared" si="7"/>
        <v>56334.00959999999</v>
      </c>
      <c r="S55" s="16">
        <f t="shared" si="8"/>
        <v>3166.4699917714279</v>
      </c>
      <c r="T55" s="16">
        <f t="shared" si="9"/>
        <v>88661.159769599981</v>
      </c>
      <c r="U55" s="41">
        <f t="shared" si="10"/>
        <v>3.8743273775120736E-3</v>
      </c>
    </row>
    <row r="56" spans="1:26" x14ac:dyDescent="0.25">
      <c r="A56" s="128"/>
      <c r="B56" s="138"/>
      <c r="C56" s="24" t="s">
        <v>107</v>
      </c>
      <c r="D56" s="15" t="s">
        <v>102</v>
      </c>
      <c r="E56" s="131" t="s">
        <v>80</v>
      </c>
      <c r="F56" s="132"/>
      <c r="G56" s="16">
        <f>(I4+I4/3)/12/28</f>
        <v>7.2485714285714291</v>
      </c>
      <c r="H56" s="41">
        <f t="shared" si="1"/>
        <v>1.7587536514998144E-3</v>
      </c>
      <c r="I56" s="16">
        <f t="shared" si="13"/>
        <v>246.45142857142858</v>
      </c>
      <c r="J56" s="16">
        <f t="shared" si="11"/>
        <v>6900.64</v>
      </c>
      <c r="K56" s="16">
        <f>(M4+M4/3)/12/28</f>
        <v>17.619047619047617</v>
      </c>
      <c r="L56" s="41">
        <f t="shared" si="2"/>
        <v>1.9828589598660058E-3</v>
      </c>
      <c r="M56" s="16">
        <f t="shared" si="3"/>
        <v>299.52380952380946</v>
      </c>
      <c r="N56" s="16">
        <f t="shared" si="4"/>
        <v>8386.6666666666642</v>
      </c>
      <c r="O56" s="16">
        <f>(Q4+Q4/3)/12/28</f>
        <v>8.8095238095238084</v>
      </c>
      <c r="P56" s="41">
        <f t="shared" si="5"/>
        <v>1.8084199298181074E-3</v>
      </c>
      <c r="Q56" s="16">
        <f t="shared" si="6"/>
        <v>951.42857142857133</v>
      </c>
      <c r="R56" s="16">
        <f t="shared" si="7"/>
        <v>26639.999999999996</v>
      </c>
      <c r="S56" s="16">
        <f t="shared" si="8"/>
        <v>1497.4038095238093</v>
      </c>
      <c r="T56" s="16">
        <f t="shared" si="9"/>
        <v>41927.306666666656</v>
      </c>
      <c r="U56" s="41">
        <f t="shared" si="10"/>
        <v>1.8321451299096174E-3</v>
      </c>
    </row>
    <row r="57" spans="1:26" x14ac:dyDescent="0.25">
      <c r="A57" s="128"/>
      <c r="B57" s="138"/>
      <c r="C57" s="24" t="s">
        <v>144</v>
      </c>
      <c r="D57" s="15" t="s">
        <v>44</v>
      </c>
      <c r="E57" s="131" t="s">
        <v>79</v>
      </c>
      <c r="F57" s="132"/>
      <c r="G57" s="16">
        <f>I4/12/28</f>
        <v>5.4364285714285714</v>
      </c>
      <c r="H57" s="41">
        <f t="shared" si="1"/>
        <v>1.3190652386248607E-3</v>
      </c>
      <c r="I57" s="16">
        <f t="shared" si="13"/>
        <v>184.83857142857141</v>
      </c>
      <c r="J57" s="16">
        <f t="shared" si="11"/>
        <v>5175.4799999999996</v>
      </c>
      <c r="K57" s="16">
        <f>M4/12/28</f>
        <v>13.214285714285714</v>
      </c>
      <c r="L57" s="41">
        <f t="shared" si="2"/>
        <v>1.4871442198995043E-3</v>
      </c>
      <c r="M57" s="16">
        <f t="shared" si="3"/>
        <v>224.64285714285714</v>
      </c>
      <c r="N57" s="16">
        <f t="shared" si="4"/>
        <v>6290</v>
      </c>
      <c r="O57" s="16">
        <f>Q4/12/28</f>
        <v>6.6071428571428568</v>
      </c>
      <c r="P57" s="41">
        <f t="shared" si="5"/>
        <v>1.3563149473635808E-3</v>
      </c>
      <c r="Q57" s="16">
        <f t="shared" si="6"/>
        <v>713.57142857142856</v>
      </c>
      <c r="R57" s="16">
        <f t="shared" si="7"/>
        <v>19980</v>
      </c>
      <c r="S57" s="16">
        <f t="shared" si="8"/>
        <v>1123.0528571428572</v>
      </c>
      <c r="T57" s="16">
        <f t="shared" si="9"/>
        <v>31445.480000000003</v>
      </c>
      <c r="U57" s="41">
        <f t="shared" si="10"/>
        <v>1.3741088474322136E-3</v>
      </c>
    </row>
    <row r="58" spans="1:26" x14ac:dyDescent="0.25">
      <c r="A58" s="128"/>
      <c r="B58" s="138"/>
      <c r="C58" s="24" t="s">
        <v>145</v>
      </c>
      <c r="D58" s="15" t="s">
        <v>9</v>
      </c>
      <c r="E58" s="131" t="s">
        <v>156</v>
      </c>
      <c r="F58" s="132"/>
      <c r="G58" s="16">
        <f>(G55+G57)*8%</f>
        <v>1.6611638125714285</v>
      </c>
      <c r="H58" s="41">
        <f t="shared" si="1"/>
        <v>4.0305568481859423E-4</v>
      </c>
      <c r="I58" s="16">
        <f t="shared" si="13"/>
        <v>56.479569627428567</v>
      </c>
      <c r="J58" s="16">
        <f t="shared" si="11"/>
        <v>1581.4279495679998</v>
      </c>
      <c r="K58" s="16">
        <f>(K55+K57)*8%</f>
        <v>4.0377782857142854</v>
      </c>
      <c r="L58" s="41">
        <f t="shared" si="2"/>
        <v>4.5441416726324437E-4</v>
      </c>
      <c r="M58" s="16">
        <f t="shared" si="3"/>
        <v>68.642230857142849</v>
      </c>
      <c r="N58" s="16">
        <f t="shared" si="4"/>
        <v>1921.9824639999997</v>
      </c>
      <c r="O58" s="16">
        <f>(O55+O57)*8%</f>
        <v>2.0188891428571427</v>
      </c>
      <c r="P58" s="41">
        <f t="shared" si="5"/>
        <v>4.1443776542033148E-4</v>
      </c>
      <c r="Q58" s="16">
        <f t="shared" si="6"/>
        <v>218.04002742857142</v>
      </c>
      <c r="R58" s="16">
        <f t="shared" si="7"/>
        <v>6105.1207679999998</v>
      </c>
      <c r="S58" s="16">
        <f t="shared" si="8"/>
        <v>343.16182791314282</v>
      </c>
      <c r="T58" s="16">
        <f t="shared" si="9"/>
        <v>9608.5311815679997</v>
      </c>
      <c r="U58" s="41">
        <f t="shared" si="10"/>
        <v>4.1987489799554298E-4</v>
      </c>
    </row>
    <row r="59" spans="1:26" x14ac:dyDescent="0.25">
      <c r="A59" s="128"/>
      <c r="B59" s="138"/>
      <c r="C59" s="24" t="s">
        <v>146</v>
      </c>
      <c r="D59" s="15" t="s">
        <v>12</v>
      </c>
      <c r="E59" s="131" t="s">
        <v>157</v>
      </c>
      <c r="F59" s="132"/>
      <c r="G59" s="16">
        <f>(G55+G57)*20%</f>
        <v>4.1529095314285716</v>
      </c>
      <c r="H59" s="41">
        <f t="shared" si="1"/>
        <v>1.0076392120464857E-3</v>
      </c>
      <c r="I59" s="16">
        <f t="shared" si="13"/>
        <v>141.19892406857144</v>
      </c>
      <c r="J59" s="16">
        <f t="shared" si="11"/>
        <v>3953.5698739200006</v>
      </c>
      <c r="K59" s="16">
        <f>(K55+K57)*20%</f>
        <v>10.094445714285714</v>
      </c>
      <c r="L59" s="41">
        <f t="shared" si="2"/>
        <v>1.1360354181581111E-3</v>
      </c>
      <c r="M59" s="16">
        <f t="shared" si="3"/>
        <v>171.60557714285713</v>
      </c>
      <c r="N59" s="16">
        <f t="shared" si="4"/>
        <v>4804.9561599999997</v>
      </c>
      <c r="O59" s="16">
        <f>(O55+O57)*20%</f>
        <v>5.0472228571428568</v>
      </c>
      <c r="P59" s="41">
        <f t="shared" si="5"/>
        <v>1.0360944135508288E-3</v>
      </c>
      <c r="Q59" s="16">
        <f t="shared" si="6"/>
        <v>545.10006857142855</v>
      </c>
      <c r="R59" s="16">
        <f t="shared" si="7"/>
        <v>15262.80192</v>
      </c>
      <c r="S59" s="16">
        <f t="shared" si="8"/>
        <v>857.90456978285715</v>
      </c>
      <c r="T59" s="16">
        <f t="shared" si="9"/>
        <v>24021.327953920001</v>
      </c>
      <c r="U59" s="41">
        <f t="shared" si="10"/>
        <v>1.0496872449888576E-3</v>
      </c>
    </row>
    <row r="60" spans="1:26" x14ac:dyDescent="0.25">
      <c r="A60" s="128"/>
      <c r="B60" s="138"/>
      <c r="C60" s="24" t="s">
        <v>147</v>
      </c>
      <c r="D60" s="15" t="s">
        <v>96</v>
      </c>
      <c r="E60" s="131" t="s">
        <v>159</v>
      </c>
      <c r="F60" s="132"/>
      <c r="G60" s="16">
        <f>(G55+G57)*0.2%</f>
        <v>4.1529095314285711E-2</v>
      </c>
      <c r="H60" s="41">
        <f t="shared" si="1"/>
        <v>1.0076392120464855E-5</v>
      </c>
      <c r="I60" s="16">
        <f t="shared" si="13"/>
        <v>1.4119892406857142</v>
      </c>
      <c r="J60" s="16">
        <f t="shared" si="11"/>
        <v>39.535698739200001</v>
      </c>
      <c r="K60" s="16">
        <f>(K55+K57)*0.2%</f>
        <v>0.10094445714285713</v>
      </c>
      <c r="L60" s="41">
        <f t="shared" si="2"/>
        <v>1.1360354181581109E-5</v>
      </c>
      <c r="M60" s="16">
        <f t="shared" si="3"/>
        <v>1.7160557714285711</v>
      </c>
      <c r="N60" s="16">
        <f t="shared" si="4"/>
        <v>48.04956159999999</v>
      </c>
      <c r="O60" s="16">
        <f>(O55+O57)*0.2%</f>
        <v>5.0472228571428565E-2</v>
      </c>
      <c r="P60" s="41">
        <f t="shared" si="5"/>
        <v>1.0360944135508287E-5</v>
      </c>
      <c r="Q60" s="16">
        <f t="shared" si="6"/>
        <v>5.451000685714285</v>
      </c>
      <c r="R60" s="16">
        <f t="shared" si="7"/>
        <v>152.62801919999998</v>
      </c>
      <c r="S60" s="16">
        <f t="shared" si="8"/>
        <v>8.5790456978285707</v>
      </c>
      <c r="T60" s="16">
        <f t="shared" si="9"/>
        <v>240.21327953919999</v>
      </c>
      <c r="U60" s="41">
        <f t="shared" si="10"/>
        <v>1.0496872449888575E-5</v>
      </c>
    </row>
    <row r="61" spans="1:26" x14ac:dyDescent="0.25">
      <c r="A61" s="128"/>
      <c r="B61" s="138"/>
      <c r="C61" s="24" t="s">
        <v>148</v>
      </c>
      <c r="D61" s="15" t="s">
        <v>111</v>
      </c>
      <c r="E61" s="131" t="s">
        <v>160</v>
      </c>
      <c r="F61" s="132"/>
      <c r="G61" s="16">
        <f>(G55+G57)*1%</f>
        <v>0.20764547657142857</v>
      </c>
      <c r="H61" s="41">
        <f t="shared" si="1"/>
        <v>5.0381960602324279E-5</v>
      </c>
      <c r="I61" s="16">
        <f t="shared" si="13"/>
        <v>7.0599462034285709</v>
      </c>
      <c r="J61" s="16">
        <f t="shared" si="11"/>
        <v>197.67849369599998</v>
      </c>
      <c r="K61" s="16">
        <f>(K55+K57)*1%</f>
        <v>0.50472228571428568</v>
      </c>
      <c r="L61" s="41">
        <f t="shared" si="2"/>
        <v>5.6801770907905546E-5</v>
      </c>
      <c r="M61" s="16">
        <f t="shared" si="3"/>
        <v>8.5802788571428561</v>
      </c>
      <c r="N61" s="16">
        <f t="shared" si="4"/>
        <v>240.24780799999996</v>
      </c>
      <c r="O61" s="16">
        <f>(O55+O57)*1%</f>
        <v>0.25236114285714284</v>
      </c>
      <c r="P61" s="41">
        <f t="shared" si="5"/>
        <v>5.1804720677541435E-5</v>
      </c>
      <c r="Q61" s="16">
        <f t="shared" si="6"/>
        <v>27.255003428571428</v>
      </c>
      <c r="R61" s="16">
        <f t="shared" si="7"/>
        <v>763.14009599999997</v>
      </c>
      <c r="S61" s="16">
        <f t="shared" si="8"/>
        <v>42.895228489142852</v>
      </c>
      <c r="T61" s="16">
        <f t="shared" si="9"/>
        <v>1201.066397696</v>
      </c>
      <c r="U61" s="41">
        <f t="shared" si="10"/>
        <v>5.2484362249442873E-5</v>
      </c>
    </row>
    <row r="62" spans="1:26" x14ac:dyDescent="0.25">
      <c r="A62" s="128"/>
      <c r="B62" s="138"/>
      <c r="C62" s="24" t="s">
        <v>149</v>
      </c>
      <c r="D62" s="15" t="s">
        <v>112</v>
      </c>
      <c r="E62" s="131" t="s">
        <v>161</v>
      </c>
      <c r="F62" s="132"/>
      <c r="G62" s="16">
        <f>(G55+G57)*1.5%</f>
        <v>0.31146821485714282</v>
      </c>
      <c r="H62" s="41">
        <f t="shared" si="1"/>
        <v>7.5572940903486405E-5</v>
      </c>
      <c r="I62" s="16">
        <f t="shared" si="13"/>
        <v>10.589919305142857</v>
      </c>
      <c r="J62" s="16">
        <f t="shared" si="11"/>
        <v>296.51774054399999</v>
      </c>
      <c r="K62" s="16">
        <f>(K55+K57)*1.5%</f>
        <v>0.75708342857142852</v>
      </c>
      <c r="L62" s="41">
        <f t="shared" si="2"/>
        <v>8.5202656361858326E-5</v>
      </c>
      <c r="M62" s="16">
        <f t="shared" si="3"/>
        <v>12.870418285714285</v>
      </c>
      <c r="N62" s="16">
        <f t="shared" si="4"/>
        <v>360.371712</v>
      </c>
      <c r="O62" s="16">
        <f>(O55+O57)*1.5%</f>
        <v>0.37854171428571426</v>
      </c>
      <c r="P62" s="41">
        <f t="shared" si="5"/>
        <v>7.7707081016312155E-5</v>
      </c>
      <c r="Q62" s="16">
        <f t="shared" si="6"/>
        <v>40.882505142857141</v>
      </c>
      <c r="R62" s="16">
        <f t="shared" si="7"/>
        <v>1144.7101439999999</v>
      </c>
      <c r="S62" s="16">
        <f t="shared" si="8"/>
        <v>64.342842733714292</v>
      </c>
      <c r="T62" s="16">
        <f t="shared" si="9"/>
        <v>1801.5995965440002</v>
      </c>
      <c r="U62" s="41">
        <f t="shared" si="10"/>
        <v>7.8726543374164326E-5</v>
      </c>
    </row>
    <row r="63" spans="1:26" x14ac:dyDescent="0.25">
      <c r="A63" s="128"/>
      <c r="B63" s="138"/>
      <c r="C63" s="24" t="s">
        <v>150</v>
      </c>
      <c r="D63" s="15" t="s">
        <v>113</v>
      </c>
      <c r="E63" s="131" t="s">
        <v>162</v>
      </c>
      <c r="F63" s="132"/>
      <c r="G63" s="16">
        <f>(G55+G57)*0.6%</f>
        <v>0.12458728594285713</v>
      </c>
      <c r="H63" s="41">
        <f t="shared" si="1"/>
        <v>3.0229176361394565E-5</v>
      </c>
      <c r="I63" s="16">
        <f t="shared" si="13"/>
        <v>4.2359677220571426</v>
      </c>
      <c r="J63" s="16">
        <f t="shared" si="11"/>
        <v>118.60709621759999</v>
      </c>
      <c r="K63" s="16">
        <f>(K55+K57)*0.6%</f>
        <v>0.30283337142857142</v>
      </c>
      <c r="L63" s="41">
        <f t="shared" si="2"/>
        <v>3.4081062544743332E-5</v>
      </c>
      <c r="M63" s="16">
        <f t="shared" si="3"/>
        <v>5.1481673142857138</v>
      </c>
      <c r="N63" s="16">
        <f t="shared" si="4"/>
        <v>144.14868479999998</v>
      </c>
      <c r="O63" s="16">
        <f>(O55+O57)*0.6%</f>
        <v>0.15141668571428571</v>
      </c>
      <c r="P63" s="41">
        <f t="shared" si="5"/>
        <v>3.1082832406524865E-5</v>
      </c>
      <c r="Q63" s="16">
        <f t="shared" si="6"/>
        <v>16.353002057142856</v>
      </c>
      <c r="R63" s="16">
        <f t="shared" si="7"/>
        <v>457.88405759999995</v>
      </c>
      <c r="S63" s="16">
        <f t="shared" si="8"/>
        <v>25.737137093485714</v>
      </c>
      <c r="T63" s="16">
        <f t="shared" si="9"/>
        <v>720.63983861759993</v>
      </c>
      <c r="U63" s="41">
        <f t="shared" si="10"/>
        <v>3.1490617349665724E-5</v>
      </c>
    </row>
    <row r="64" spans="1:26" x14ac:dyDescent="0.25">
      <c r="A64" s="128"/>
      <c r="B64" s="138"/>
      <c r="C64" s="24" t="s">
        <v>151</v>
      </c>
      <c r="D64" s="15" t="s">
        <v>14</v>
      </c>
      <c r="E64" s="131" t="s">
        <v>158</v>
      </c>
      <c r="F64" s="132"/>
      <c r="G64" s="16">
        <f>(G55+G57)*2.5%</f>
        <v>0.51911369142857144</v>
      </c>
      <c r="H64" s="41">
        <f t="shared" si="1"/>
        <v>1.2595490150581071E-4</v>
      </c>
      <c r="I64" s="16">
        <f t="shared" si="13"/>
        <v>17.64986550857143</v>
      </c>
      <c r="J64" s="16">
        <f t="shared" si="11"/>
        <v>494.19623424000008</v>
      </c>
      <c r="K64" s="16">
        <f>(K55+K57)*2.5%</f>
        <v>1.2618057142857142</v>
      </c>
      <c r="L64" s="41">
        <f t="shared" si="2"/>
        <v>1.4200442726976389E-4</v>
      </c>
      <c r="M64" s="16">
        <f t="shared" si="3"/>
        <v>21.450697142857141</v>
      </c>
      <c r="N64" s="16">
        <f t="shared" si="4"/>
        <v>600.61951999999997</v>
      </c>
      <c r="O64" s="16">
        <f>(O55+O57)*2.5%</f>
        <v>0.6309028571428571</v>
      </c>
      <c r="P64" s="41">
        <f t="shared" si="5"/>
        <v>1.295118016938536E-4</v>
      </c>
      <c r="Q64" s="16">
        <f t="shared" si="6"/>
        <v>68.137508571428569</v>
      </c>
      <c r="R64" s="16">
        <f t="shared" si="7"/>
        <v>1907.85024</v>
      </c>
      <c r="S64" s="16">
        <f t="shared" si="8"/>
        <v>107.23807122285714</v>
      </c>
      <c r="T64" s="16">
        <f t="shared" si="9"/>
        <v>3002.6659942400001</v>
      </c>
      <c r="U64" s="41">
        <f t="shared" si="10"/>
        <v>1.3121090562360721E-4</v>
      </c>
    </row>
    <row r="65" spans="1:26" x14ac:dyDescent="0.25">
      <c r="A65" s="128"/>
      <c r="B65" s="138"/>
      <c r="C65" s="24" t="s">
        <v>152</v>
      </c>
      <c r="D65" s="15" t="s">
        <v>16</v>
      </c>
      <c r="E65" s="133" t="s">
        <v>220</v>
      </c>
      <c r="F65" s="134"/>
      <c r="G65" s="16">
        <f>(G55+G57)*2.029%</f>
        <v>0.42131267196342853</v>
      </c>
      <c r="H65" s="41">
        <f t="shared" si="1"/>
        <v>1.0222499806211595E-4</v>
      </c>
      <c r="I65" s="16">
        <f t="shared" si="13"/>
        <v>14.32463084675657</v>
      </c>
      <c r="J65" s="16">
        <f t="shared" si="11"/>
        <v>401.08966370918392</v>
      </c>
      <c r="K65" s="16">
        <f>(K55+K57)*2.029%</f>
        <v>1.0240815177142855</v>
      </c>
      <c r="L65" s="41">
        <f t="shared" si="2"/>
        <v>1.1525079317214034E-4</v>
      </c>
      <c r="M65" s="16">
        <f t="shared" si="3"/>
        <v>17.409385801142854</v>
      </c>
      <c r="N65" s="16">
        <f t="shared" si="4"/>
        <v>487.46280243199988</v>
      </c>
      <c r="O65" s="16">
        <f>(O55+O57)*2.029%</f>
        <v>0.51204075885714273</v>
      </c>
      <c r="P65" s="41">
        <f t="shared" si="5"/>
        <v>1.0511177825473155E-4</v>
      </c>
      <c r="Q65" s="16">
        <f t="shared" si="6"/>
        <v>55.300401956571413</v>
      </c>
      <c r="R65" s="16">
        <f t="shared" si="7"/>
        <v>1548.4112547839995</v>
      </c>
      <c r="S65" s="16">
        <f t="shared" si="8"/>
        <v>87.034418604470829</v>
      </c>
      <c r="T65" s="16">
        <f t="shared" si="9"/>
        <v>2436.9637209251832</v>
      </c>
      <c r="U65" s="41">
        <f t="shared" si="10"/>
        <v>1.0649077100411956E-4</v>
      </c>
    </row>
    <row r="66" spans="1:26" x14ac:dyDescent="0.25">
      <c r="A66" s="128"/>
      <c r="B66" s="138"/>
      <c r="C66" s="24" t="s">
        <v>153</v>
      </c>
      <c r="D66" s="15" t="s">
        <v>41</v>
      </c>
      <c r="E66" s="157" t="s">
        <v>177</v>
      </c>
      <c r="F66" s="158"/>
      <c r="G66" s="16">
        <f>((G7+G23+G33+G46+G58)*40%)*85.43%</f>
        <v>60.891465949079787</v>
      </c>
      <c r="H66" s="41">
        <f t="shared" si="1"/>
        <v>1.477437163149083E-2</v>
      </c>
      <c r="I66" s="16">
        <f t="shared" si="13"/>
        <v>2070.3098422687126</v>
      </c>
      <c r="J66" s="16">
        <f t="shared" si="11"/>
        <v>57968.675583523953</v>
      </c>
      <c r="K66" s="16">
        <f>((K7+K23+K33+K46+K58)*40%)*85.43%</f>
        <v>147.51316484825909</v>
      </c>
      <c r="L66" s="41">
        <f t="shared" si="2"/>
        <v>1.6601226521537286E-2</v>
      </c>
      <c r="M66" s="16">
        <f t="shared" si="3"/>
        <v>2507.7238024204048</v>
      </c>
      <c r="N66" s="16">
        <f t="shared" si="4"/>
        <v>70216.266467771333</v>
      </c>
      <c r="O66" s="16">
        <f>((O7+O23+O33+O46+O58)*40%)*85.43%</f>
        <v>73.756582424129547</v>
      </c>
      <c r="P66" s="41">
        <f t="shared" si="5"/>
        <v>1.5140758626121213E-2</v>
      </c>
      <c r="Q66" s="16">
        <f t="shared" si="6"/>
        <v>7965.7109018059909</v>
      </c>
      <c r="R66" s="16">
        <f t="shared" si="7"/>
        <v>223039.90525056774</v>
      </c>
      <c r="S66" s="16">
        <f t="shared" si="8"/>
        <v>12543.744546495109</v>
      </c>
      <c r="T66" s="16">
        <f t="shared" si="9"/>
        <v>351224.84730186302</v>
      </c>
      <c r="U66" s="41">
        <f t="shared" si="10"/>
        <v>1.5347870985449041E-2</v>
      </c>
    </row>
    <row r="67" spans="1:26" x14ac:dyDescent="0.25">
      <c r="A67" s="129"/>
      <c r="B67" s="139"/>
      <c r="C67" s="17" t="s">
        <v>154</v>
      </c>
      <c r="D67" s="18" t="s">
        <v>7</v>
      </c>
      <c r="E67" s="135" t="s">
        <v>155</v>
      </c>
      <c r="F67" s="136"/>
      <c r="G67" s="19">
        <f>SUM(G55:G66)</f>
        <v>96.344314814871794</v>
      </c>
      <c r="H67" s="42">
        <f t="shared" si="1"/>
        <v>2.3376456609643749E-2</v>
      </c>
      <c r="I67" s="19">
        <f t="shared" si="13"/>
        <v>3275.7067037056408</v>
      </c>
      <c r="J67" s="19">
        <f t="shared" si="11"/>
        <v>91719.787703757946</v>
      </c>
      <c r="K67" s="19">
        <f>SUM(K55:K66)</f>
        <v>233.6881358135924</v>
      </c>
      <c r="L67" s="42">
        <f t="shared" si="2"/>
        <v>2.6299413222053192E-2</v>
      </c>
      <c r="M67" s="19">
        <f t="shared" si="3"/>
        <v>3972.6983088310708</v>
      </c>
      <c r="N67" s="19">
        <f t="shared" si="4"/>
        <v>111235.55264726999</v>
      </c>
      <c r="O67" s="19">
        <f>SUM(O55:O66)</f>
        <v>116.8440679067962</v>
      </c>
      <c r="P67" s="42">
        <f t="shared" si="5"/>
        <v>2.3985761960849093E-2</v>
      </c>
      <c r="Q67" s="19">
        <f t="shared" si="6"/>
        <v>12619.159333933989</v>
      </c>
      <c r="R67" s="19">
        <f t="shared" si="7"/>
        <v>353336.46135015169</v>
      </c>
      <c r="S67" s="19">
        <f t="shared" si="8"/>
        <v>19867.564346470703</v>
      </c>
      <c r="T67" s="19">
        <f t="shared" si="9"/>
        <v>556291.80170117971</v>
      </c>
      <c r="U67" s="42">
        <f t="shared" si="10"/>
        <v>2.4308914555338238E-2</v>
      </c>
    </row>
    <row r="68" spans="1:26" s="90" customFormat="1" ht="15" customHeight="1" x14ac:dyDescent="0.25">
      <c r="A68" s="130" t="s">
        <v>81</v>
      </c>
      <c r="B68" s="137" t="s">
        <v>51</v>
      </c>
      <c r="C68" s="86" t="s">
        <v>163</v>
      </c>
      <c r="D68" s="87" t="s">
        <v>51</v>
      </c>
      <c r="E68" s="168">
        <v>42.1</v>
      </c>
      <c r="F68" s="134"/>
      <c r="G68" s="88">
        <f>E68*6/28</f>
        <v>9.0214285714285722</v>
      </c>
      <c r="H68" s="89">
        <f>G68/$G$80</f>
        <v>2.1889099939340416E-3</v>
      </c>
      <c r="I68" s="88">
        <f t="shared" si="13"/>
        <v>306.72857142857146</v>
      </c>
      <c r="J68" s="88">
        <f t="shared" si="11"/>
        <v>8588.4000000000015</v>
      </c>
      <c r="K68" s="88">
        <f>E68*10/28</f>
        <v>15.035714285714286</v>
      </c>
      <c r="L68" s="89">
        <f t="shared" si="2"/>
        <v>1.6921289637234903E-3</v>
      </c>
      <c r="M68" s="88">
        <f t="shared" si="3"/>
        <v>255.60714285714286</v>
      </c>
      <c r="N68" s="88">
        <f t="shared" si="4"/>
        <v>7157</v>
      </c>
      <c r="O68" s="88">
        <f>E68*10/28</f>
        <v>15.035714285714286</v>
      </c>
      <c r="P68" s="89">
        <f t="shared" si="5"/>
        <v>3.0865329342706352E-3</v>
      </c>
      <c r="Q68" s="88">
        <f t="shared" si="6"/>
        <v>1623.8571428571429</v>
      </c>
      <c r="R68" s="88">
        <f t="shared" si="7"/>
        <v>45468</v>
      </c>
      <c r="S68" s="88">
        <f t="shared" si="8"/>
        <v>2186.1928571428571</v>
      </c>
      <c r="T68" s="88">
        <f t="shared" si="9"/>
        <v>61213.399999999994</v>
      </c>
      <c r="U68" s="89">
        <f t="shared" si="10"/>
        <v>2.6749114505934413E-3</v>
      </c>
      <c r="Z68" s="91"/>
    </row>
    <row r="69" spans="1:26" x14ac:dyDescent="0.25">
      <c r="A69" s="130"/>
      <c r="B69" s="139"/>
      <c r="C69" s="17" t="s">
        <v>164</v>
      </c>
      <c r="D69" s="18" t="s">
        <v>7</v>
      </c>
      <c r="E69" s="135" t="s">
        <v>163</v>
      </c>
      <c r="F69" s="136"/>
      <c r="G69" s="19">
        <f>SUM(G68)</f>
        <v>9.0214285714285722</v>
      </c>
      <c r="H69" s="42">
        <f t="shared" si="1"/>
        <v>2.1889099939340416E-3</v>
      </c>
      <c r="I69" s="19">
        <f t="shared" si="13"/>
        <v>306.72857142857146</v>
      </c>
      <c r="J69" s="19">
        <f t="shared" si="11"/>
        <v>8588.4000000000015</v>
      </c>
      <c r="K69" s="19">
        <f>SUM(K68)</f>
        <v>15.035714285714286</v>
      </c>
      <c r="L69" s="42">
        <f t="shared" si="2"/>
        <v>1.6921289637234903E-3</v>
      </c>
      <c r="M69" s="19">
        <f t="shared" si="3"/>
        <v>255.60714285714286</v>
      </c>
      <c r="N69" s="19">
        <f t="shared" si="4"/>
        <v>7157</v>
      </c>
      <c r="O69" s="19">
        <f>SUM(O68)</f>
        <v>15.035714285714286</v>
      </c>
      <c r="P69" s="42">
        <f t="shared" si="5"/>
        <v>3.0865329342706352E-3</v>
      </c>
      <c r="Q69" s="19">
        <f t="shared" si="6"/>
        <v>1623.8571428571429</v>
      </c>
      <c r="R69" s="19">
        <f t="shared" si="7"/>
        <v>45468</v>
      </c>
      <c r="S69" s="19">
        <f t="shared" si="8"/>
        <v>2186.1928571428571</v>
      </c>
      <c r="T69" s="19">
        <f t="shared" si="9"/>
        <v>61213.399999999994</v>
      </c>
      <c r="U69" s="42">
        <f t="shared" si="10"/>
        <v>2.6749114505934413E-3</v>
      </c>
    </row>
    <row r="70" spans="1:26" x14ac:dyDescent="0.25">
      <c r="A70" s="143" t="s">
        <v>85</v>
      </c>
      <c r="B70" s="144"/>
      <c r="C70" s="144"/>
      <c r="D70" s="144"/>
      <c r="E70" s="144"/>
      <c r="F70" s="145"/>
      <c r="G70" s="19">
        <f>SUM(G69,G67,G54,G41,G31,G21,G15)</f>
        <v>3863.6280228874175</v>
      </c>
      <c r="H70" s="42">
        <f>G70/$G$80</f>
        <v>0.93744953198722458</v>
      </c>
      <c r="I70" s="19">
        <f>SUM(I69,I67,I54,I41,I31,I21,I15)</f>
        <v>131363.35277817221</v>
      </c>
      <c r="J70" s="19">
        <f>SUM(J69,J67,J54,J41,J31,J21,J15)</f>
        <v>3678173.8777888212</v>
      </c>
      <c r="K70" s="19">
        <f>SUM(K69,K67,K54,K41,K31,K21,K15)</f>
        <v>8213.5672454447358</v>
      </c>
      <c r="L70" s="42">
        <f t="shared" si="2"/>
        <v>0.92436014461333227</v>
      </c>
      <c r="M70" s="19">
        <f t="shared" ref="M70:R70" si="14">SUM(M69,M67,M54,M41,M31,M21,M15)</f>
        <v>139630.64317256049</v>
      </c>
      <c r="N70" s="19">
        <f t="shared" si="14"/>
        <v>3909658.0088316938</v>
      </c>
      <c r="O70" s="19">
        <f>SUM(O69,O67,O54,O41,O31,O21,O15)</f>
        <v>4496.8642169539153</v>
      </c>
      <c r="P70" s="42">
        <f t="shared" si="5"/>
        <v>0.92311673677909478</v>
      </c>
      <c r="Q70" s="19">
        <f t="shared" si="14"/>
        <v>485661.33543102286</v>
      </c>
      <c r="R70" s="19">
        <f t="shared" si="14"/>
        <v>13598517.392068639</v>
      </c>
      <c r="S70" s="19">
        <f t="shared" si="8"/>
        <v>756655.33138175565</v>
      </c>
      <c r="T70" s="19">
        <f t="shared" si="9"/>
        <v>21186349.278689157</v>
      </c>
      <c r="U70" s="42">
        <f t="shared" si="10"/>
        <v>0.92580396256110142</v>
      </c>
    </row>
    <row r="71" spans="1:26" s="73" customFormat="1" ht="27.75" customHeight="1" x14ac:dyDescent="0.25">
      <c r="A71" s="124" t="s">
        <v>82</v>
      </c>
      <c r="B71" s="130" t="s">
        <v>68</v>
      </c>
      <c r="C71" s="71" t="s">
        <v>165</v>
      </c>
      <c r="D71" s="72" t="s">
        <v>54</v>
      </c>
      <c r="E71" s="164" t="s">
        <v>227</v>
      </c>
      <c r="F71" s="165"/>
      <c r="G71" s="63">
        <f>G70*0.1%</f>
        <v>3.8636280228874176</v>
      </c>
      <c r="H71" s="64">
        <f>G71/$G$80</f>
        <v>9.3744953198722459E-4</v>
      </c>
      <c r="I71" s="63">
        <f>I70*0.1%</f>
        <v>131.36335277817221</v>
      </c>
      <c r="J71" s="63">
        <f>J70*0.1%</f>
        <v>3678.1738777888213</v>
      </c>
      <c r="K71" s="81">
        <f>K70*0.8%</f>
        <v>65.708537963557887</v>
      </c>
      <c r="L71" s="82">
        <f t="shared" ref="L71:L80" si="15">K71/$K$80</f>
        <v>7.3948811569066585E-3</v>
      </c>
      <c r="M71" s="81">
        <f>M70*0.8%</f>
        <v>1117.045145380484</v>
      </c>
      <c r="N71" s="81">
        <f>N70*0.8%</f>
        <v>31277.264070653549</v>
      </c>
      <c r="O71" s="83">
        <f>O70*0.864755%</f>
        <v>38.886858159319829</v>
      </c>
      <c r="P71" s="84">
        <f t="shared" ref="P71:P80" si="16">O71/$O$80</f>
        <v>7.9826981371340609E-3</v>
      </c>
      <c r="Q71" s="83">
        <f>Q70*0.864755%</f>
        <v>4199.7806812065419</v>
      </c>
      <c r="R71" s="83">
        <f>R70*0.864755%</f>
        <v>117593.85907378317</v>
      </c>
      <c r="S71" s="16">
        <f t="shared" ref="S71:S80" si="17">I71+M71+Q71</f>
        <v>5448.1891793651976</v>
      </c>
      <c r="T71" s="69">
        <f t="shared" ref="T71:T79" si="18">S71*28</f>
        <v>152549.29702222554</v>
      </c>
      <c r="U71" s="70">
        <f t="shared" ref="U71:U80" si="19">T71/$T$80</f>
        <v>6.6661198591277575E-3</v>
      </c>
      <c r="Z71" s="74"/>
    </row>
    <row r="72" spans="1:26" x14ac:dyDescent="0.25">
      <c r="A72" s="125"/>
      <c r="B72" s="130"/>
      <c r="C72" s="28" t="s">
        <v>166</v>
      </c>
      <c r="D72" s="29" t="s">
        <v>7</v>
      </c>
      <c r="E72" s="135" t="s">
        <v>165</v>
      </c>
      <c r="F72" s="136"/>
      <c r="G72" s="65">
        <f>G70*0.1%</f>
        <v>3.8636280228874176</v>
      </c>
      <c r="H72" s="66">
        <f t="shared" ref="H72:H80" si="20">G72/$G$80</f>
        <v>9.3744953198722459E-4</v>
      </c>
      <c r="I72" s="65">
        <f>I70*0.1%</f>
        <v>131.36335277817221</v>
      </c>
      <c r="J72" s="65">
        <f>J70*0.1%</f>
        <v>3678.1738777888213</v>
      </c>
      <c r="K72" s="75">
        <f>K70*0.8%</f>
        <v>65.708537963557887</v>
      </c>
      <c r="L72" s="76">
        <f t="shared" si="15"/>
        <v>7.3948811569066585E-3</v>
      </c>
      <c r="M72" s="75">
        <f>M70*0.8%</f>
        <v>1117.045145380484</v>
      </c>
      <c r="N72" s="75">
        <f>N70*0.8%</f>
        <v>31277.264070653549</v>
      </c>
      <c r="O72" s="65">
        <f>O70*0.864755%</f>
        <v>38.886858159319829</v>
      </c>
      <c r="P72" s="66">
        <f t="shared" si="16"/>
        <v>7.9826981371340609E-3</v>
      </c>
      <c r="Q72" s="65">
        <f>Q70*0.864755%</f>
        <v>4199.7806812065419</v>
      </c>
      <c r="R72" s="65">
        <f>R70*0.864755%</f>
        <v>117593.85907378317</v>
      </c>
      <c r="S72" s="16">
        <f t="shared" si="17"/>
        <v>5448.1891793651976</v>
      </c>
      <c r="T72" s="30">
        <f t="shared" si="18"/>
        <v>152549.29702222554</v>
      </c>
      <c r="U72" s="45">
        <f t="shared" si="19"/>
        <v>6.6661198591277575E-3</v>
      </c>
    </row>
    <row r="73" spans="1:26" x14ac:dyDescent="0.25">
      <c r="A73" s="125"/>
      <c r="B73" s="130"/>
      <c r="C73" s="25" t="s">
        <v>167</v>
      </c>
      <c r="D73" s="26" t="s">
        <v>60</v>
      </c>
      <c r="E73" s="157" t="s">
        <v>205</v>
      </c>
      <c r="F73" s="158"/>
      <c r="G73" s="67">
        <f>((G70+G72+G78)/(1-0.0608))*0.88%</f>
        <v>36.268540802762516</v>
      </c>
      <c r="H73" s="68">
        <f t="shared" si="20"/>
        <v>8.8000000000000005E-3</v>
      </c>
      <c r="I73" s="67">
        <f>((I70+I72+I78)/(1-0.0608))*0.88%</f>
        <v>1233.1303872939257</v>
      </c>
      <c r="J73" s="67">
        <f>((J70+J72+J78)/(1-0.0608))*0.88%</f>
        <v>34527.650844229909</v>
      </c>
      <c r="K73" s="77">
        <f>((K70+K72+K78)/(1-0.0608))*0.88%</f>
        <v>78.193972534534979</v>
      </c>
      <c r="L73" s="78">
        <f t="shared" si="15"/>
        <v>8.8000000000000005E-3</v>
      </c>
      <c r="M73" s="77">
        <f>((M70+M72+M78)/(1-0.0608))*0.88%</f>
        <v>1329.2975330870947</v>
      </c>
      <c r="N73" s="77">
        <f>((N70+N72+N78)/(1-0.0608))*0.88%</f>
        <v>37220.330926438641</v>
      </c>
      <c r="O73" s="67">
        <f>((O70+O72+O78)/(1-0.0608))*0.88%</f>
        <v>42.868256562294654</v>
      </c>
      <c r="P73" s="68">
        <f t="shared" si="16"/>
        <v>8.8000000000000005E-3</v>
      </c>
      <c r="Q73" s="67">
        <f>((Q70+Q72+Q78)/(1-0.0608))*0.88%</f>
        <v>4629.7717087278224</v>
      </c>
      <c r="R73" s="67">
        <f>((R70+R72+R78)/(1-0.0608))*0.88%</f>
        <v>129633.607844379</v>
      </c>
      <c r="S73" s="16">
        <f t="shared" si="17"/>
        <v>7192.1996291088426</v>
      </c>
      <c r="T73" s="27">
        <f t="shared" si="18"/>
        <v>201381.58961504759</v>
      </c>
      <c r="U73" s="44">
        <f t="shared" si="19"/>
        <v>8.8000000000000005E-3</v>
      </c>
    </row>
    <row r="74" spans="1:26" x14ac:dyDescent="0.25">
      <c r="A74" s="125"/>
      <c r="B74" s="130"/>
      <c r="C74" s="25" t="s">
        <v>168</v>
      </c>
      <c r="D74" s="26" t="s">
        <v>62</v>
      </c>
      <c r="E74" s="157" t="s">
        <v>201</v>
      </c>
      <c r="F74" s="158"/>
      <c r="G74" s="67">
        <f>((G70+G72+G78)/(1-0.0608))*5%</f>
        <v>206.07125456115065</v>
      </c>
      <c r="H74" s="68">
        <f t="shared" si="20"/>
        <v>0.05</v>
      </c>
      <c r="I74" s="67">
        <f>((I70+I72+I78)/(1-0.0608))*5%</f>
        <v>7006.4226550791227</v>
      </c>
      <c r="J74" s="67">
        <f>((J70+J72+J78)/(1-0.0608))*5%</f>
        <v>196179.83434221538</v>
      </c>
      <c r="K74" s="77">
        <f>((K70+K72+K78)/(1-0.0608))*5%</f>
        <v>444.28393485531234</v>
      </c>
      <c r="L74" s="78">
        <f t="shared" si="15"/>
        <v>0.05</v>
      </c>
      <c r="M74" s="77">
        <f>((M70+M72+M78)/(1-0.0608))*5%</f>
        <v>7552.8268925403099</v>
      </c>
      <c r="N74" s="77">
        <f>((N70+N72+N78)/(1-0.0608))*5%</f>
        <v>211479.15299112862</v>
      </c>
      <c r="O74" s="67">
        <f>((O70+O72+O78)/(1-0.0608))*5%</f>
        <v>243.56963955849233</v>
      </c>
      <c r="P74" s="68">
        <f t="shared" si="16"/>
        <v>0.05</v>
      </c>
      <c r="Q74" s="67">
        <f>((Q70+Q72+Q78)/(1-0.0608))*5%</f>
        <v>26305.521072317173</v>
      </c>
      <c r="R74" s="67">
        <f>((R70+R72+R78)/(1-0.0608))*5%</f>
        <v>736554.59002488072</v>
      </c>
      <c r="S74" s="16">
        <f t="shared" si="17"/>
        <v>40864.770619936608</v>
      </c>
      <c r="T74" s="27">
        <f t="shared" si="18"/>
        <v>1144213.5773582249</v>
      </c>
      <c r="U74" s="44">
        <f t="shared" si="19"/>
        <v>0.05</v>
      </c>
    </row>
    <row r="75" spans="1:26" x14ac:dyDescent="0.25">
      <c r="A75" s="125"/>
      <c r="B75" s="130"/>
      <c r="C75" s="25" t="s">
        <v>169</v>
      </c>
      <c r="D75" s="26" t="s">
        <v>61</v>
      </c>
      <c r="E75" s="159" t="s">
        <v>206</v>
      </c>
      <c r="F75" s="160"/>
      <c r="G75" s="67">
        <f>((G70+G72+G78)/(1-0.0608))*0.2%</f>
        <v>8.2428501824460252</v>
      </c>
      <c r="H75" s="68">
        <f t="shared" si="20"/>
        <v>2E-3</v>
      </c>
      <c r="I75" s="67">
        <f>((I70+I72+I78)/(1-0.0608))*0.2%</f>
        <v>280.25690620316487</v>
      </c>
      <c r="J75" s="67">
        <f>((J70+J72+J78)/(1-0.0608))*0.2%</f>
        <v>7847.1933736886149</v>
      </c>
      <c r="K75" s="77">
        <f>((K70+K72+K78)/(1-0.0608))*0.2%</f>
        <v>17.771357394212494</v>
      </c>
      <c r="L75" s="78">
        <f t="shared" si="15"/>
        <v>2E-3</v>
      </c>
      <c r="M75" s="77">
        <f>((M70+M72+M78)/(1-0.0608))*0.2%</f>
        <v>302.11307570161239</v>
      </c>
      <c r="N75" s="77">
        <f>((N70+N72+N78)/(1-0.0608))*0.2%</f>
        <v>8459.1661196451441</v>
      </c>
      <c r="O75" s="67">
        <f>((O70+O72+O78)/(1-0.0608))*0.2%</f>
        <v>9.7427855823396925</v>
      </c>
      <c r="P75" s="68">
        <f t="shared" si="16"/>
        <v>2E-3</v>
      </c>
      <c r="Q75" s="67">
        <f>((Q70+Q72+Q78)/(1-0.0608))*0.2%</f>
        <v>1052.220842892687</v>
      </c>
      <c r="R75" s="67">
        <f>((R70+R72+R78)/(1-0.0608))*0.2%</f>
        <v>29462.183600995228</v>
      </c>
      <c r="S75" s="16">
        <f t="shared" si="17"/>
        <v>1634.5908247974642</v>
      </c>
      <c r="T75" s="27">
        <f t="shared" si="18"/>
        <v>45768.543094328998</v>
      </c>
      <c r="U75" s="44">
        <f t="shared" si="19"/>
        <v>2E-3</v>
      </c>
    </row>
    <row r="76" spans="1:26" x14ac:dyDescent="0.25">
      <c r="A76" s="125"/>
      <c r="B76" s="130"/>
      <c r="C76" s="28" t="s">
        <v>170</v>
      </c>
      <c r="D76" s="29" t="s">
        <v>7</v>
      </c>
      <c r="E76" s="135" t="s">
        <v>173</v>
      </c>
      <c r="F76" s="136"/>
      <c r="G76" s="65">
        <f t="shared" ref="G76:R76" si="21">SUM(G73:G75)</f>
        <v>250.5826455463592</v>
      </c>
      <c r="H76" s="66">
        <f t="shared" si="20"/>
        <v>6.0800000000000007E-2</v>
      </c>
      <c r="I76" s="65">
        <f>SUM(I73:I75)</f>
        <v>8519.8099485762141</v>
      </c>
      <c r="J76" s="65">
        <f t="shared" si="21"/>
        <v>238554.67856013391</v>
      </c>
      <c r="K76" s="75">
        <f t="shared" si="21"/>
        <v>540.24926478405985</v>
      </c>
      <c r="L76" s="76">
        <f t="shared" si="15"/>
        <v>6.0800000000000007E-2</v>
      </c>
      <c r="M76" s="75">
        <f t="shared" si="21"/>
        <v>9184.2375013290166</v>
      </c>
      <c r="N76" s="75">
        <f t="shared" si="21"/>
        <v>257158.65003721241</v>
      </c>
      <c r="O76" s="65">
        <f t="shared" si="21"/>
        <v>296.18068170312671</v>
      </c>
      <c r="P76" s="66">
        <f t="shared" si="16"/>
        <v>6.0800000000000007E-2</v>
      </c>
      <c r="Q76" s="65">
        <f t="shared" si="21"/>
        <v>31987.513623937681</v>
      </c>
      <c r="R76" s="65">
        <f t="shared" si="21"/>
        <v>895650.38147025497</v>
      </c>
      <c r="S76" s="19">
        <f t="shared" si="17"/>
        <v>49691.56107384291</v>
      </c>
      <c r="T76" s="30">
        <f t="shared" si="18"/>
        <v>1391363.7100676014</v>
      </c>
      <c r="U76" s="45">
        <f t="shared" si="19"/>
        <v>6.08E-2</v>
      </c>
    </row>
    <row r="77" spans="1:26" s="90" customFormat="1" x14ac:dyDescent="0.25">
      <c r="A77" s="125"/>
      <c r="B77" s="130"/>
      <c r="C77" s="92" t="s">
        <v>171</v>
      </c>
      <c r="D77" s="93" t="s">
        <v>66</v>
      </c>
      <c r="E77" s="171" t="s">
        <v>226</v>
      </c>
      <c r="F77" s="172"/>
      <c r="G77" s="94">
        <f>(G70+G72)*0.08664%</f>
        <v>3.3507947663486881</v>
      </c>
      <c r="H77" s="95">
        <f t="shared" si="20"/>
        <v>8.1301848078824503E-4</v>
      </c>
      <c r="I77" s="94">
        <f>(I70+I72)*0.08664%</f>
        <v>113.92702205585539</v>
      </c>
      <c r="J77" s="94">
        <f>(J70+J72)*0.08664%</f>
        <v>3189.9566175639507</v>
      </c>
      <c r="K77" s="94">
        <f>(K70+K72)*0.799027%</f>
        <v>66.15364891389379</v>
      </c>
      <c r="L77" s="95">
        <f>K77/$K$80</f>
        <v>7.4449742297611676E-3</v>
      </c>
      <c r="M77" s="94">
        <f>(M70+M72)*0.799027%</f>
        <v>1124.6120315361943</v>
      </c>
      <c r="N77" s="94">
        <f>(N70+N72)*0.799027%</f>
        <v>31489.136883013442</v>
      </c>
      <c r="O77" s="94">
        <f>(O70+O72)*0.87%</f>
        <v>39.46103435348514</v>
      </c>
      <c r="P77" s="95">
        <f>O77/$O$80</f>
        <v>8.1005650837711902E-3</v>
      </c>
      <c r="Q77" s="94">
        <f>(Q70+Q72)*0.87%</f>
        <v>4261.791710176396</v>
      </c>
      <c r="R77" s="94">
        <f>(R70+R72)*0.87%</f>
        <v>119330.16788493906</v>
      </c>
      <c r="S77" s="88">
        <f t="shared" si="17"/>
        <v>5500.3307637684456</v>
      </c>
      <c r="T77" s="94">
        <f t="shared" si="18"/>
        <v>154009.26138551647</v>
      </c>
      <c r="U77" s="95">
        <f t="shared" si="19"/>
        <v>6.7299175797710361E-3</v>
      </c>
      <c r="Z77" s="91"/>
    </row>
    <row r="78" spans="1:26" s="90" customFormat="1" x14ac:dyDescent="0.25">
      <c r="A78" s="126"/>
      <c r="B78" s="130"/>
      <c r="C78" s="108" t="s">
        <v>172</v>
      </c>
      <c r="D78" s="109" t="s">
        <v>7</v>
      </c>
      <c r="E78" s="166" t="s">
        <v>225</v>
      </c>
      <c r="F78" s="167"/>
      <c r="G78" s="110">
        <f>(G70+G72)*0.08664%</f>
        <v>3.3507947663486881</v>
      </c>
      <c r="H78" s="111">
        <f t="shared" si="20"/>
        <v>8.1301848078824503E-4</v>
      </c>
      <c r="I78" s="110">
        <f>(I70+I72)*0.08664%</f>
        <v>113.92702205585539</v>
      </c>
      <c r="J78" s="110">
        <f>(J70+J72)*0.08664%</f>
        <v>3189.9566175639507</v>
      </c>
      <c r="K78" s="110">
        <f>(K70+K72)*0.799027%</f>
        <v>66.15364891389379</v>
      </c>
      <c r="L78" s="111">
        <f t="shared" si="15"/>
        <v>7.4449742297611676E-3</v>
      </c>
      <c r="M78" s="110">
        <f>(M70+M72)*0.799027%</f>
        <v>1124.6120315361943</v>
      </c>
      <c r="N78" s="110">
        <f>(N70+N72)*0.799027%</f>
        <v>31489.136883013442</v>
      </c>
      <c r="O78" s="110">
        <f>(O70+O72)*0.87%</f>
        <v>39.46103435348514</v>
      </c>
      <c r="P78" s="111">
        <f t="shared" si="16"/>
        <v>8.1005650837711902E-3</v>
      </c>
      <c r="Q78" s="110">
        <f>(Q70+Q72)*0.87%</f>
        <v>4261.791710176396</v>
      </c>
      <c r="R78" s="110">
        <f>(R70+R72)*0.87%</f>
        <v>119330.16788493906</v>
      </c>
      <c r="S78" s="113">
        <f t="shared" si="17"/>
        <v>5500.3307637684456</v>
      </c>
      <c r="T78" s="110">
        <f t="shared" si="18"/>
        <v>154009.26138551647</v>
      </c>
      <c r="U78" s="111">
        <f t="shared" si="19"/>
        <v>6.7299175797710361E-3</v>
      </c>
      <c r="Z78" s="91"/>
    </row>
    <row r="79" spans="1:26" x14ac:dyDescent="0.25">
      <c r="A79" s="143" t="s">
        <v>93</v>
      </c>
      <c r="B79" s="144"/>
      <c r="C79" s="144"/>
      <c r="D79" s="144"/>
      <c r="E79" s="144"/>
      <c r="F79" s="145"/>
      <c r="G79" s="65">
        <f>G72+G76+G78</f>
        <v>257.79706833559533</v>
      </c>
      <c r="H79" s="66">
        <f t="shared" si="20"/>
        <v>6.2550468012775487E-2</v>
      </c>
      <c r="I79" s="65">
        <f>I72+I76+I78</f>
        <v>8765.1003234102427</v>
      </c>
      <c r="J79" s="65">
        <f>J72+J76+J78</f>
        <v>245422.80905548669</v>
      </c>
      <c r="K79" s="75">
        <f t="shared" ref="K79:R79" si="22">K72+K76+K78</f>
        <v>672.11145166151152</v>
      </c>
      <c r="L79" s="76">
        <f t="shared" si="15"/>
        <v>7.5639855386667829E-2</v>
      </c>
      <c r="M79" s="75">
        <f t="shared" si="22"/>
        <v>11425.894678245695</v>
      </c>
      <c r="N79" s="75">
        <f>N72+N76+N78</f>
        <v>319925.05099087936</v>
      </c>
      <c r="O79" s="65">
        <f t="shared" si="22"/>
        <v>374.52857421593171</v>
      </c>
      <c r="P79" s="66">
        <f t="shared" si="16"/>
        <v>7.6883263220905274E-2</v>
      </c>
      <c r="Q79" s="65">
        <f t="shared" si="22"/>
        <v>40449.086015320616</v>
      </c>
      <c r="R79" s="65">
        <f t="shared" si="22"/>
        <v>1132574.4084289772</v>
      </c>
      <c r="S79" s="19">
        <f t="shared" si="17"/>
        <v>60640.081016976554</v>
      </c>
      <c r="T79" s="30">
        <f t="shared" si="18"/>
        <v>1697922.2684753435</v>
      </c>
      <c r="U79" s="45">
        <f t="shared" si="19"/>
        <v>7.4196037438898799E-2</v>
      </c>
    </row>
    <row r="80" spans="1:26" ht="16.149999999999999" customHeight="1" x14ac:dyDescent="0.25">
      <c r="A80" s="140" t="s">
        <v>67</v>
      </c>
      <c r="B80" s="141"/>
      <c r="C80" s="141"/>
      <c r="D80" s="141"/>
      <c r="E80" s="141"/>
      <c r="F80" s="142"/>
      <c r="G80" s="61">
        <f>G70+G79</f>
        <v>4121.4250912230127</v>
      </c>
      <c r="H80" s="62">
        <f t="shared" si="20"/>
        <v>1</v>
      </c>
      <c r="I80" s="61">
        <f>I70+I79</f>
        <v>140128.45310158245</v>
      </c>
      <c r="J80" s="61">
        <f>J70+J79</f>
        <v>3923596.6868443079</v>
      </c>
      <c r="K80" s="79">
        <f t="shared" ref="K80:R80" si="23">K70+K79</f>
        <v>8885.6786971062465</v>
      </c>
      <c r="L80" s="80">
        <f t="shared" si="15"/>
        <v>1</v>
      </c>
      <c r="M80" s="79">
        <f t="shared" si="23"/>
        <v>151056.5378508062</v>
      </c>
      <c r="N80" s="79">
        <f t="shared" si="23"/>
        <v>4229583.0598225733</v>
      </c>
      <c r="O80" s="61">
        <f t="shared" si="23"/>
        <v>4871.3927911698465</v>
      </c>
      <c r="P80" s="62">
        <f t="shared" si="16"/>
        <v>1</v>
      </c>
      <c r="Q80" s="61">
        <f t="shared" si="23"/>
        <v>526110.42144634342</v>
      </c>
      <c r="R80" s="61">
        <f t="shared" si="23"/>
        <v>14731091.800497618</v>
      </c>
      <c r="S80" s="19">
        <f t="shared" si="17"/>
        <v>817295.41239873203</v>
      </c>
      <c r="T80" s="31">
        <f>S80*28</f>
        <v>22884271.547164496</v>
      </c>
      <c r="U80" s="45">
        <f t="shared" si="19"/>
        <v>1</v>
      </c>
    </row>
    <row r="82" spans="1:18" ht="26.25" customHeight="1" x14ac:dyDescent="0.25">
      <c r="A82" s="123" t="s">
        <v>203</v>
      </c>
      <c r="B82" s="123"/>
      <c r="C82" s="123"/>
      <c r="D82" s="123"/>
      <c r="E82" s="123"/>
      <c r="F82" s="123"/>
      <c r="G82" s="3"/>
      <c r="I82" s="60">
        <f>J80/34</f>
        <v>115399.90255424436</v>
      </c>
      <c r="J82" s="3"/>
      <c r="K82" s="3"/>
      <c r="M82" s="60">
        <f>N80/17</f>
        <v>248799.0035189749</v>
      </c>
      <c r="N82" s="3"/>
      <c r="O82" s="3"/>
      <c r="Q82" s="60">
        <f>R80/108</f>
        <v>136398.99815275572</v>
      </c>
      <c r="R82" s="3"/>
    </row>
    <row r="83" spans="1:18" x14ac:dyDescent="0.25">
      <c r="I83" s="60">
        <v>115399.9</v>
      </c>
      <c r="M83" s="60">
        <v>248799</v>
      </c>
      <c r="Q83" s="60">
        <v>136399</v>
      </c>
    </row>
    <row r="84" spans="1:18" x14ac:dyDescent="0.25">
      <c r="A84" s="123" t="s">
        <v>204</v>
      </c>
      <c r="B84" s="123"/>
      <c r="C84" s="123"/>
      <c r="D84" s="123"/>
      <c r="E84" s="123"/>
      <c r="F84" s="123"/>
    </row>
    <row r="85" spans="1:18" ht="15" customHeight="1" x14ac:dyDescent="0.25">
      <c r="A85" s="123"/>
      <c r="B85" s="123"/>
      <c r="C85" s="123"/>
      <c r="D85" s="123"/>
      <c r="E85" s="123"/>
      <c r="F85" s="123"/>
      <c r="I85" s="3"/>
    </row>
    <row r="86" spans="1:18" ht="15" customHeight="1" x14ac:dyDescent="0.25">
      <c r="A86" s="123"/>
      <c r="B86" s="123"/>
      <c r="C86" s="123"/>
      <c r="D86" s="123"/>
      <c r="E86" s="123"/>
      <c r="F86" s="123"/>
      <c r="I86" s="60"/>
    </row>
    <row r="87" spans="1:18" ht="15" customHeight="1" x14ac:dyDescent="0.25">
      <c r="A87" s="123"/>
      <c r="B87" s="123"/>
      <c r="C87" s="123"/>
      <c r="D87" s="123"/>
      <c r="E87" s="123"/>
      <c r="F87" s="123"/>
      <c r="G87" s="3"/>
      <c r="I87" s="3"/>
      <c r="M87" s="3"/>
      <c r="N87" s="60"/>
      <c r="Q87" s="3"/>
    </row>
    <row r="88" spans="1:18" ht="15" customHeight="1" x14ac:dyDescent="0.25">
      <c r="A88" s="123"/>
      <c r="B88" s="123"/>
      <c r="C88" s="123"/>
      <c r="D88" s="123"/>
      <c r="E88" s="123"/>
      <c r="F88" s="123"/>
      <c r="I88" s="101"/>
      <c r="M88" s="60"/>
      <c r="N88" s="60"/>
      <c r="Q88" s="60"/>
    </row>
    <row r="89" spans="1:18" ht="15" customHeight="1" x14ac:dyDescent="0.25">
      <c r="A89" s="123"/>
      <c r="B89" s="123"/>
      <c r="C89" s="123"/>
      <c r="D89" s="123"/>
      <c r="E89" s="123"/>
      <c r="F89" s="123"/>
      <c r="G89" s="60"/>
      <c r="I89" s="101"/>
      <c r="M89" s="101"/>
      <c r="Q89" s="101"/>
    </row>
    <row r="90" spans="1:18" ht="101.25" customHeight="1" x14ac:dyDescent="0.25">
      <c r="A90" s="123"/>
      <c r="B90" s="123"/>
      <c r="C90" s="123"/>
      <c r="D90" s="123"/>
      <c r="E90" s="123"/>
      <c r="F90" s="123"/>
      <c r="M90" s="101"/>
      <c r="Q90" s="101"/>
    </row>
    <row r="91" spans="1:18" ht="15" x14ac:dyDescent="0.2">
      <c r="A91" s="47"/>
      <c r="M91" s="3"/>
    </row>
    <row r="92" spans="1:18" ht="15" x14ac:dyDescent="0.2">
      <c r="A92" s="47"/>
    </row>
  </sheetData>
  <mergeCells count="113">
    <mergeCell ref="U3:U5"/>
    <mergeCell ref="S2:U2"/>
    <mergeCell ref="A1:U1"/>
    <mergeCell ref="E71:F71"/>
    <mergeCell ref="O4:P4"/>
    <mergeCell ref="B2:B5"/>
    <mergeCell ref="C2:C5"/>
    <mergeCell ref="B55:B67"/>
    <mergeCell ref="B71:B78"/>
    <mergeCell ref="E72:F72"/>
    <mergeCell ref="E78:F78"/>
    <mergeCell ref="B68:B69"/>
    <mergeCell ref="E68:F68"/>
    <mergeCell ref="E15:F15"/>
    <mergeCell ref="E16:F16"/>
    <mergeCell ref="E17:F17"/>
    <mergeCell ref="E18:F18"/>
    <mergeCell ref="E20:F20"/>
    <mergeCell ref="E21:F21"/>
    <mergeCell ref="E22:F22"/>
    <mergeCell ref="E23:F23"/>
    <mergeCell ref="E76:F76"/>
    <mergeCell ref="E77:F77"/>
    <mergeCell ref="E29:F29"/>
    <mergeCell ref="A2:A5"/>
    <mergeCell ref="B6:B15"/>
    <mergeCell ref="A6:A21"/>
    <mergeCell ref="B22:B31"/>
    <mergeCell ref="A79:F79"/>
    <mergeCell ref="B42:B54"/>
    <mergeCell ref="E46:F46"/>
    <mergeCell ref="E47:F47"/>
    <mergeCell ref="E73:F73"/>
    <mergeCell ref="E74:F74"/>
    <mergeCell ref="E75:F75"/>
    <mergeCell ref="D2:D5"/>
    <mergeCell ref="B16:B21"/>
    <mergeCell ref="E66:F66"/>
    <mergeCell ref="E51:F51"/>
    <mergeCell ref="E60:F60"/>
    <mergeCell ref="E61:F61"/>
    <mergeCell ref="E62:F62"/>
    <mergeCell ref="E63:F63"/>
    <mergeCell ref="E49:F49"/>
    <mergeCell ref="E50:F50"/>
    <mergeCell ref="G4:H4"/>
    <mergeCell ref="I3:J3"/>
    <mergeCell ref="I4:J4"/>
    <mergeCell ref="E30:F30"/>
    <mergeCell ref="E41:F41"/>
    <mergeCell ref="E31:F31"/>
    <mergeCell ref="E32:F32"/>
    <mergeCell ref="E33:F33"/>
    <mergeCell ref="E34:F34"/>
    <mergeCell ref="E37:F37"/>
    <mergeCell ref="E38:F38"/>
    <mergeCell ref="E2:F5"/>
    <mergeCell ref="E6:F6"/>
    <mergeCell ref="G2:J2"/>
    <mergeCell ref="G3:H3"/>
    <mergeCell ref="E26:F26"/>
    <mergeCell ref="E27:F27"/>
    <mergeCell ref="E28:F28"/>
    <mergeCell ref="E35:F35"/>
    <mergeCell ref="E36:F36"/>
    <mergeCell ref="A80:F80"/>
    <mergeCell ref="A70:F70"/>
    <mergeCell ref="M4:N4"/>
    <mergeCell ref="K2:N2"/>
    <mergeCell ref="S3:T3"/>
    <mergeCell ref="S4:T4"/>
    <mergeCell ref="E42:F42"/>
    <mergeCell ref="E43:F43"/>
    <mergeCell ref="E44:F44"/>
    <mergeCell ref="E45:F45"/>
    <mergeCell ref="E55:F55"/>
    <mergeCell ref="E9:F9"/>
    <mergeCell ref="E10:F10"/>
    <mergeCell ref="E11:F11"/>
    <mergeCell ref="E12:F12"/>
    <mergeCell ref="E48:F48"/>
    <mergeCell ref="Q3:R3"/>
    <mergeCell ref="Q4:R4"/>
    <mergeCell ref="E7:F7"/>
    <mergeCell ref="E8:F8"/>
    <mergeCell ref="E13:F13"/>
    <mergeCell ref="E14:F14"/>
    <mergeCell ref="E39:F39"/>
    <mergeCell ref="E24:F24"/>
    <mergeCell ref="O2:R2"/>
    <mergeCell ref="K3:L3"/>
    <mergeCell ref="O3:P3"/>
    <mergeCell ref="K4:L4"/>
    <mergeCell ref="M3:N3"/>
    <mergeCell ref="A84:F90"/>
    <mergeCell ref="A82:F82"/>
    <mergeCell ref="A71:A78"/>
    <mergeCell ref="A22:A67"/>
    <mergeCell ref="A68:A69"/>
    <mergeCell ref="E56:F56"/>
    <mergeCell ref="E57:F57"/>
    <mergeCell ref="E58:F58"/>
    <mergeCell ref="E59:F59"/>
    <mergeCell ref="E64:F64"/>
    <mergeCell ref="E65:F65"/>
    <mergeCell ref="E67:F67"/>
    <mergeCell ref="E69:F69"/>
    <mergeCell ref="E52:F52"/>
    <mergeCell ref="E53:F53"/>
    <mergeCell ref="E54:F54"/>
    <mergeCell ref="E40:F40"/>
    <mergeCell ref="B32:B41"/>
    <mergeCell ref="E25:F2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17 K17 O17 G76:H76 H74 H75 H73 H79 H77 L73 L74 L75 P75 P73 P74 L71 P71 H72 H78 L72 L78 P72 P78 H80 K80:N80 L70:N70 K76:N76 K79:M79 O80:P80 O70:P70 O76:P76 O79:P79 J76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0"/>
  <sheetViews>
    <sheetView topLeftCell="H1" zoomScaleNormal="100" workbookViewId="0">
      <selection activeCell="L13" sqref="L13"/>
    </sheetView>
  </sheetViews>
  <sheetFormatPr defaultColWidth="10.75" defaultRowHeight="8.25" x14ac:dyDescent="0.15"/>
  <cols>
    <col min="1" max="1" width="3.25" style="35" customWidth="1"/>
    <col min="2" max="2" width="6" style="35" customWidth="1"/>
    <col min="3" max="3" width="9.25" style="35" bestFit="1" customWidth="1"/>
    <col min="4" max="4" width="5" style="39" bestFit="1" customWidth="1"/>
    <col min="5" max="5" width="7.75" style="40" customWidth="1"/>
    <col min="6" max="6" width="10.75" style="35" bestFit="1" customWidth="1"/>
    <col min="7" max="7" width="11.75" style="35" bestFit="1" customWidth="1"/>
    <col min="8" max="8" width="8.25" style="37" bestFit="1" customWidth="1"/>
    <col min="9" max="9" width="5" style="39" bestFit="1" customWidth="1"/>
    <col min="10" max="10" width="8.25" style="35" bestFit="1" customWidth="1"/>
    <col min="11" max="11" width="10.75" style="35" bestFit="1" customWidth="1"/>
    <col min="12" max="12" width="12.5" style="35" bestFit="1" customWidth="1"/>
    <col min="13" max="13" width="7.125" style="37" bestFit="1" customWidth="1"/>
    <col min="14" max="14" width="5.5" style="39" customWidth="1"/>
    <col min="15" max="15" width="8.25" style="35" bestFit="1" customWidth="1"/>
    <col min="16" max="16" width="11.75" style="35" bestFit="1" customWidth="1"/>
    <col min="17" max="17" width="12.5" style="35" bestFit="1" customWidth="1"/>
    <col min="18" max="18" width="8.25" style="37" bestFit="1" customWidth="1"/>
    <col min="19" max="19" width="8.75" style="39" customWidth="1"/>
    <col min="20" max="20" width="11.75" style="36" bestFit="1" customWidth="1"/>
    <col min="21" max="21" width="12.5" style="36" bestFit="1" customWidth="1"/>
    <col min="22" max="22" width="14" style="36" bestFit="1" customWidth="1"/>
    <col min="23" max="23" width="17.25" style="35" bestFit="1" customWidth="1"/>
    <col min="24" max="16384" width="10.75" style="35"/>
  </cols>
  <sheetData>
    <row r="1" spans="1:22" ht="40.5" customHeight="1" x14ac:dyDescent="0.15">
      <c r="A1" s="178" t="s">
        <v>94</v>
      </c>
      <c r="B1" s="173" t="s">
        <v>191</v>
      </c>
      <c r="C1" s="178" t="s">
        <v>189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 t="s">
        <v>50</v>
      </c>
      <c r="T1" s="163"/>
      <c r="U1" s="163"/>
      <c r="V1" s="163"/>
    </row>
    <row r="2" spans="1:22" ht="36" customHeight="1" x14ac:dyDescent="0.15">
      <c r="A2" s="178"/>
      <c r="B2" s="174"/>
      <c r="C2" s="178"/>
      <c r="D2" s="179" t="s">
        <v>36</v>
      </c>
      <c r="E2" s="179"/>
      <c r="F2" s="179"/>
      <c r="G2" s="179"/>
      <c r="H2" s="179"/>
      <c r="I2" s="179" t="s">
        <v>37</v>
      </c>
      <c r="J2" s="179"/>
      <c r="K2" s="179"/>
      <c r="L2" s="179"/>
      <c r="M2" s="179"/>
      <c r="N2" s="179" t="s">
        <v>38</v>
      </c>
      <c r="O2" s="179"/>
      <c r="P2" s="179"/>
      <c r="Q2" s="179"/>
      <c r="R2" s="179"/>
      <c r="S2" s="180" t="s">
        <v>110</v>
      </c>
      <c r="T2" s="181" t="s">
        <v>108</v>
      </c>
      <c r="U2" s="181"/>
      <c r="V2" s="181"/>
    </row>
    <row r="3" spans="1:22" ht="82.5" x14ac:dyDescent="0.15">
      <c r="A3" s="178"/>
      <c r="B3" s="175"/>
      <c r="C3" s="178"/>
      <c r="D3" s="105" t="s">
        <v>110</v>
      </c>
      <c r="E3" s="107" t="s">
        <v>190</v>
      </c>
      <c r="F3" s="107" t="s">
        <v>194</v>
      </c>
      <c r="G3" s="107" t="s">
        <v>195</v>
      </c>
      <c r="H3" s="48" t="s">
        <v>95</v>
      </c>
      <c r="I3" s="105" t="s">
        <v>110</v>
      </c>
      <c r="J3" s="107" t="s">
        <v>190</v>
      </c>
      <c r="K3" s="107" t="s">
        <v>194</v>
      </c>
      <c r="L3" s="107" t="s">
        <v>195</v>
      </c>
      <c r="M3" s="48" t="s">
        <v>95</v>
      </c>
      <c r="N3" s="105" t="s">
        <v>110</v>
      </c>
      <c r="O3" s="107" t="s">
        <v>190</v>
      </c>
      <c r="P3" s="107" t="s">
        <v>194</v>
      </c>
      <c r="Q3" s="107" t="s">
        <v>195</v>
      </c>
      <c r="R3" s="48" t="s">
        <v>95</v>
      </c>
      <c r="S3" s="180"/>
      <c r="T3" s="106" t="s">
        <v>81</v>
      </c>
      <c r="U3" s="49" t="s">
        <v>192</v>
      </c>
      <c r="V3" s="49" t="s">
        <v>193</v>
      </c>
    </row>
    <row r="4" spans="1:22" ht="45" customHeight="1" x14ac:dyDescent="0.15">
      <c r="A4" s="161">
        <v>18</v>
      </c>
      <c r="B4" s="176" t="s">
        <v>196</v>
      </c>
      <c r="C4" s="104" t="s">
        <v>97</v>
      </c>
      <c r="D4" s="114">
        <v>34</v>
      </c>
      <c r="E4" s="115">
        <f>'Precificação Total'!G$80</f>
        <v>4121.4250912230127</v>
      </c>
      <c r="F4" s="115">
        <f>D4*$E$4</f>
        <v>140128.45310158242</v>
      </c>
      <c r="G4" s="115">
        <f t="shared" ref="G4" si="0">F4*28</f>
        <v>3923596.6868443079</v>
      </c>
      <c r="H4" s="50">
        <v>44202</v>
      </c>
      <c r="I4" s="114">
        <v>17</v>
      </c>
      <c r="J4" s="115">
        <f>'Precificação Total'!K$80</f>
        <v>8885.6786971062465</v>
      </c>
      <c r="K4" s="115">
        <f>I4*$J$4</f>
        <v>151056.5378508062</v>
      </c>
      <c r="L4" s="115">
        <f t="shared" ref="L4" si="1">K4*28</f>
        <v>4229583.0598225733</v>
      </c>
      <c r="M4" s="50">
        <v>44228</v>
      </c>
      <c r="N4" s="114">
        <v>108</v>
      </c>
      <c r="O4" s="115">
        <f>'Precificação Total'!O$80</f>
        <v>4871.3927911698465</v>
      </c>
      <c r="P4" s="115">
        <f>N4*$O$4</f>
        <v>526110.42144634342</v>
      </c>
      <c r="Q4" s="115">
        <f t="shared" ref="Q4" si="2">P4*28</f>
        <v>14731091.800497616</v>
      </c>
      <c r="R4" s="50">
        <v>44228</v>
      </c>
      <c r="S4" s="114">
        <f>D4+I4+N4</f>
        <v>159</v>
      </c>
      <c r="T4" s="116">
        <f>F4+K4+P4</f>
        <v>817295.41239873203</v>
      </c>
      <c r="U4" s="116">
        <f t="shared" ref="U4" si="3">T4*12</f>
        <v>9807544.9487847835</v>
      </c>
      <c r="V4" s="116">
        <f t="shared" ref="V4" si="4">T4*28</f>
        <v>22884271.547164496</v>
      </c>
    </row>
    <row r="5" spans="1:22" ht="12.75" x14ac:dyDescent="0.15">
      <c r="A5" s="161"/>
      <c r="B5" s="177"/>
      <c r="C5" s="104" t="s">
        <v>50</v>
      </c>
      <c r="D5" s="117">
        <f t="shared" ref="D5:U5" si="5">SUM(D4:D4)</f>
        <v>34</v>
      </c>
      <c r="E5" s="49" t="s">
        <v>109</v>
      </c>
      <c r="F5" s="49">
        <f t="shared" si="5"/>
        <v>140128.45310158242</v>
      </c>
      <c r="G5" s="49">
        <f t="shared" si="5"/>
        <v>3923596.6868443079</v>
      </c>
      <c r="H5" s="49" t="s">
        <v>109</v>
      </c>
      <c r="I5" s="117">
        <f t="shared" si="5"/>
        <v>17</v>
      </c>
      <c r="J5" s="49" t="s">
        <v>109</v>
      </c>
      <c r="K5" s="49">
        <f t="shared" si="5"/>
        <v>151056.5378508062</v>
      </c>
      <c r="L5" s="49">
        <f t="shared" si="5"/>
        <v>4229583.0598225733</v>
      </c>
      <c r="M5" s="49" t="s">
        <v>109</v>
      </c>
      <c r="N5" s="117">
        <f t="shared" si="5"/>
        <v>108</v>
      </c>
      <c r="O5" s="49" t="s">
        <v>109</v>
      </c>
      <c r="P5" s="49">
        <f t="shared" si="5"/>
        <v>526110.42144634342</v>
      </c>
      <c r="Q5" s="49">
        <f t="shared" si="5"/>
        <v>14731091.800497616</v>
      </c>
      <c r="R5" s="49" t="s">
        <v>109</v>
      </c>
      <c r="S5" s="117">
        <f t="shared" si="5"/>
        <v>159</v>
      </c>
      <c r="T5" s="49">
        <f t="shared" si="5"/>
        <v>817295.41239873203</v>
      </c>
      <c r="U5" s="49">
        <f t="shared" si="5"/>
        <v>9807544.9487847835</v>
      </c>
      <c r="V5" s="49">
        <f>SUM(V4:V4)</f>
        <v>22884271.547164496</v>
      </c>
    </row>
    <row r="9" spans="1:22" x14ac:dyDescent="0.15">
      <c r="Q9" s="38"/>
    </row>
    <row r="10" spans="1:22" x14ac:dyDescent="0.15">
      <c r="Q10" s="38"/>
    </row>
  </sheetData>
  <mergeCells count="12">
    <mergeCell ref="N2:R2"/>
    <mergeCell ref="D1:R1"/>
    <mergeCell ref="S2:S3"/>
    <mergeCell ref="T2:V2"/>
    <mergeCell ref="S1:V1"/>
    <mergeCell ref="D2:H2"/>
    <mergeCell ref="I2:M2"/>
    <mergeCell ref="B1:B3"/>
    <mergeCell ref="A4:A5"/>
    <mergeCell ref="B4:B5"/>
    <mergeCell ref="C1:C3"/>
    <mergeCell ref="A1:A3"/>
  </mergeCells>
  <printOptions horizontalCentered="1" verticalCentered="1"/>
  <pageMargins left="0.11811023622047245" right="0.19685039370078741" top="0.78740157480314965" bottom="0.78740157480314965" header="0.31496062992125984" footer="0.31496062992125984"/>
  <pageSetup paperSize="9" scale="65" orientation="landscape" r:id="rId1"/>
  <ignoredErrors>
    <ignoredError sqref="G4:G5 L4:L5 Q4:Q5 U4 V4:V5 T5:U5 S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9"/>
  <sheetViews>
    <sheetView topLeftCell="A106" workbookViewId="0">
      <selection activeCell="C3" sqref="C3"/>
    </sheetView>
  </sheetViews>
  <sheetFormatPr defaultColWidth="10.75" defaultRowHeight="12.75" x14ac:dyDescent="0.2"/>
  <cols>
    <col min="1" max="1" width="18.5" style="10" bestFit="1" customWidth="1"/>
    <col min="2" max="3" width="13.75" style="5" customWidth="1"/>
    <col min="4" max="8" width="21.75" style="5" customWidth="1"/>
    <col min="9" max="16384" width="10.75" style="4"/>
  </cols>
  <sheetData>
    <row r="1" spans="1:8" x14ac:dyDescent="0.2">
      <c r="A1" s="182" t="s">
        <v>188</v>
      </c>
      <c r="B1" s="182"/>
      <c r="C1" s="182"/>
      <c r="D1" s="182"/>
      <c r="E1" s="182"/>
      <c r="F1" s="182"/>
      <c r="G1" s="182"/>
      <c r="H1" s="182"/>
    </row>
    <row r="2" spans="1:8" x14ac:dyDescent="0.2">
      <c r="A2" s="7" t="s">
        <v>185</v>
      </c>
      <c r="B2" s="8" t="s">
        <v>184</v>
      </c>
      <c r="C2" s="8" t="s">
        <v>178</v>
      </c>
      <c r="D2" s="8" t="s">
        <v>179</v>
      </c>
      <c r="E2" s="8" t="s">
        <v>180</v>
      </c>
      <c r="F2" s="8" t="s">
        <v>181</v>
      </c>
      <c r="G2" s="8" t="s">
        <v>182</v>
      </c>
      <c r="H2" s="8" t="s">
        <v>183</v>
      </c>
    </row>
    <row r="3" spans="1:8" x14ac:dyDescent="0.2">
      <c r="A3" s="9" t="s">
        <v>176</v>
      </c>
      <c r="B3" s="6">
        <v>10.130000000000001</v>
      </c>
      <c r="C3" s="6">
        <f>B3*12/3</f>
        <v>40.520000000000003</v>
      </c>
      <c r="D3" s="6">
        <f>AVERAGE(C3:C129)</f>
        <v>195.75023622047243</v>
      </c>
      <c r="E3" s="6">
        <f>MEDIAN(C3:C129)</f>
        <v>189.96</v>
      </c>
      <c r="F3" s="6">
        <f>STDEV(C3:C129)</f>
        <v>97.649089410204923</v>
      </c>
      <c r="G3" s="6">
        <f>D3-F3</f>
        <v>98.101146810267508</v>
      </c>
      <c r="H3" s="6">
        <f>E3-G3</f>
        <v>91.8588531897325</v>
      </c>
    </row>
    <row r="4" spans="1:8" x14ac:dyDescent="0.2">
      <c r="A4" s="9" t="s">
        <v>176</v>
      </c>
      <c r="B4" s="6">
        <v>12.49</v>
      </c>
      <c r="C4" s="6">
        <f t="shared" ref="C4:C67" si="0">B4*12/3</f>
        <v>49.96</v>
      </c>
      <c r="G4" s="6">
        <f>G3+G3*3.2%</f>
        <v>101.24038350819608</v>
      </c>
    </row>
    <row r="5" spans="1:8" x14ac:dyDescent="0.2">
      <c r="A5" s="9" t="s">
        <v>176</v>
      </c>
      <c r="B5" s="6">
        <v>12.49</v>
      </c>
      <c r="C5" s="6">
        <f t="shared" si="0"/>
        <v>49.96</v>
      </c>
    </row>
    <row r="6" spans="1:8" x14ac:dyDescent="0.2">
      <c r="A6" s="9" t="s">
        <v>176</v>
      </c>
      <c r="B6" s="6">
        <v>14.86</v>
      </c>
      <c r="C6" s="6">
        <f t="shared" si="0"/>
        <v>59.44</v>
      </c>
    </row>
    <row r="7" spans="1:8" x14ac:dyDescent="0.2">
      <c r="A7" s="9" t="s">
        <v>176</v>
      </c>
      <c r="B7" s="6">
        <v>14.86</v>
      </c>
      <c r="C7" s="6">
        <f t="shared" si="0"/>
        <v>59.44</v>
      </c>
    </row>
    <row r="8" spans="1:8" x14ac:dyDescent="0.2">
      <c r="A8" s="9" t="s">
        <v>176</v>
      </c>
      <c r="B8" s="6">
        <v>23.83</v>
      </c>
      <c r="C8" s="6">
        <f t="shared" si="0"/>
        <v>95.32</v>
      </c>
    </row>
    <row r="9" spans="1:8" x14ac:dyDescent="0.2">
      <c r="A9" s="9" t="s">
        <v>176</v>
      </c>
      <c r="B9" s="6">
        <v>24.5</v>
      </c>
      <c r="C9" s="6">
        <f t="shared" si="0"/>
        <v>98</v>
      </c>
    </row>
    <row r="10" spans="1:8" x14ac:dyDescent="0.2">
      <c r="A10" s="9" t="s">
        <v>176</v>
      </c>
      <c r="B10" s="6">
        <v>28</v>
      </c>
      <c r="C10" s="6">
        <f t="shared" si="0"/>
        <v>112</v>
      </c>
    </row>
    <row r="11" spans="1:8" x14ac:dyDescent="0.2">
      <c r="A11" s="9" t="s">
        <v>176</v>
      </c>
      <c r="B11" s="6">
        <v>28</v>
      </c>
      <c r="C11" s="6">
        <f t="shared" si="0"/>
        <v>112</v>
      </c>
    </row>
    <row r="12" spans="1:8" x14ac:dyDescent="0.2">
      <c r="A12" s="9" t="s">
        <v>176</v>
      </c>
      <c r="B12" s="6">
        <v>28</v>
      </c>
      <c r="C12" s="6">
        <f t="shared" si="0"/>
        <v>112</v>
      </c>
    </row>
    <row r="13" spans="1:8" x14ac:dyDescent="0.2">
      <c r="A13" s="9" t="s">
        <v>176</v>
      </c>
      <c r="B13" s="6">
        <v>28</v>
      </c>
      <c r="C13" s="6">
        <f t="shared" si="0"/>
        <v>112</v>
      </c>
    </row>
    <row r="14" spans="1:8" x14ac:dyDescent="0.2">
      <c r="A14" s="9" t="s">
        <v>176</v>
      </c>
      <c r="B14" s="6">
        <v>30.83</v>
      </c>
      <c r="C14" s="6">
        <f t="shared" si="0"/>
        <v>123.32</v>
      </c>
    </row>
    <row r="15" spans="1:8" x14ac:dyDescent="0.2">
      <c r="A15" s="9" t="s">
        <v>176</v>
      </c>
      <c r="B15" s="6">
        <v>32.25</v>
      </c>
      <c r="C15" s="6">
        <f t="shared" si="0"/>
        <v>129</v>
      </c>
    </row>
    <row r="16" spans="1:8" x14ac:dyDescent="0.2">
      <c r="A16" s="9" t="s">
        <v>176</v>
      </c>
      <c r="B16" s="6">
        <v>32.64</v>
      </c>
      <c r="C16" s="6">
        <f t="shared" si="0"/>
        <v>130.56</v>
      </c>
    </row>
    <row r="17" spans="1:3" x14ac:dyDescent="0.2">
      <c r="A17" s="9" t="s">
        <v>176</v>
      </c>
      <c r="B17" s="6">
        <v>34.33</v>
      </c>
      <c r="C17" s="6">
        <f t="shared" si="0"/>
        <v>137.32</v>
      </c>
    </row>
    <row r="18" spans="1:3" x14ac:dyDescent="0.2">
      <c r="A18" s="9" t="s">
        <v>176</v>
      </c>
      <c r="B18" s="6">
        <v>37.5</v>
      </c>
      <c r="C18" s="6">
        <f t="shared" si="0"/>
        <v>150</v>
      </c>
    </row>
    <row r="19" spans="1:3" x14ac:dyDescent="0.2">
      <c r="A19" s="9" t="s">
        <v>176</v>
      </c>
      <c r="B19" s="6">
        <v>41.47</v>
      </c>
      <c r="C19" s="6">
        <f t="shared" si="0"/>
        <v>165.88</v>
      </c>
    </row>
    <row r="20" spans="1:3" x14ac:dyDescent="0.2">
      <c r="A20" s="9" t="s">
        <v>176</v>
      </c>
      <c r="B20" s="6">
        <v>41.98</v>
      </c>
      <c r="C20" s="6">
        <f t="shared" si="0"/>
        <v>167.92</v>
      </c>
    </row>
    <row r="21" spans="1:3" x14ac:dyDescent="0.2">
      <c r="A21" s="9" t="s">
        <v>176</v>
      </c>
      <c r="B21" s="6">
        <v>47.94</v>
      </c>
      <c r="C21" s="6">
        <f t="shared" si="0"/>
        <v>191.76</v>
      </c>
    </row>
    <row r="22" spans="1:3" x14ac:dyDescent="0.2">
      <c r="A22" s="9" t="s">
        <v>176</v>
      </c>
      <c r="B22" s="6">
        <v>51.67</v>
      </c>
      <c r="C22" s="6">
        <f t="shared" si="0"/>
        <v>206.67999999999998</v>
      </c>
    </row>
    <row r="23" spans="1:3" x14ac:dyDescent="0.2">
      <c r="A23" s="9" t="s">
        <v>176</v>
      </c>
      <c r="B23" s="6">
        <v>52.14</v>
      </c>
      <c r="C23" s="6">
        <f t="shared" si="0"/>
        <v>208.56000000000003</v>
      </c>
    </row>
    <row r="24" spans="1:3" x14ac:dyDescent="0.2">
      <c r="A24" s="9" t="s">
        <v>176</v>
      </c>
      <c r="B24" s="6">
        <v>55.13</v>
      </c>
      <c r="C24" s="6">
        <f t="shared" si="0"/>
        <v>220.52</v>
      </c>
    </row>
    <row r="25" spans="1:3" x14ac:dyDescent="0.2">
      <c r="A25" s="9" t="s">
        <v>176</v>
      </c>
      <c r="B25" s="6">
        <v>70</v>
      </c>
      <c r="C25" s="6">
        <f t="shared" si="0"/>
        <v>280</v>
      </c>
    </row>
    <row r="26" spans="1:3" x14ac:dyDescent="0.2">
      <c r="A26" s="9" t="s">
        <v>176</v>
      </c>
      <c r="B26" s="6">
        <v>70</v>
      </c>
      <c r="C26" s="6">
        <f t="shared" si="0"/>
        <v>280</v>
      </c>
    </row>
    <row r="27" spans="1:3" x14ac:dyDescent="0.2">
      <c r="A27" s="9" t="s">
        <v>176</v>
      </c>
      <c r="B27" s="6">
        <v>74.27</v>
      </c>
      <c r="C27" s="6">
        <f t="shared" si="0"/>
        <v>297.08</v>
      </c>
    </row>
    <row r="28" spans="1:3" x14ac:dyDescent="0.2">
      <c r="A28" s="9" t="s">
        <v>176</v>
      </c>
      <c r="B28" s="6">
        <v>100.12</v>
      </c>
      <c r="C28" s="6">
        <f t="shared" si="0"/>
        <v>400.48</v>
      </c>
    </row>
    <row r="29" spans="1:3" x14ac:dyDescent="0.2">
      <c r="A29" s="9" t="s">
        <v>176</v>
      </c>
      <c r="B29" s="6">
        <v>104</v>
      </c>
      <c r="C29" s="6">
        <f t="shared" si="0"/>
        <v>416</v>
      </c>
    </row>
    <row r="30" spans="1:3" x14ac:dyDescent="0.2">
      <c r="A30" s="9" t="s">
        <v>176</v>
      </c>
      <c r="B30" s="6">
        <v>104</v>
      </c>
      <c r="C30" s="6">
        <f t="shared" si="0"/>
        <v>416</v>
      </c>
    </row>
    <row r="31" spans="1:3" x14ac:dyDescent="0.2">
      <c r="A31" s="9" t="s">
        <v>186</v>
      </c>
      <c r="B31" s="6">
        <v>6.32</v>
      </c>
      <c r="C31" s="6">
        <f t="shared" si="0"/>
        <v>25.28</v>
      </c>
    </row>
    <row r="32" spans="1:3" x14ac:dyDescent="0.2">
      <c r="A32" s="9" t="s">
        <v>186</v>
      </c>
      <c r="B32" s="6">
        <v>9.7100000000000009</v>
      </c>
      <c r="C32" s="6">
        <f t="shared" si="0"/>
        <v>38.840000000000003</v>
      </c>
    </row>
    <row r="33" spans="1:3" x14ac:dyDescent="0.2">
      <c r="A33" s="9" t="s">
        <v>186</v>
      </c>
      <c r="B33" s="6">
        <v>21.89</v>
      </c>
      <c r="C33" s="6">
        <f t="shared" si="0"/>
        <v>87.56</v>
      </c>
    </row>
    <row r="34" spans="1:3" x14ac:dyDescent="0.2">
      <c r="A34" s="9" t="s">
        <v>186</v>
      </c>
      <c r="B34" s="6">
        <v>22.35</v>
      </c>
      <c r="C34" s="6">
        <f t="shared" si="0"/>
        <v>89.40000000000002</v>
      </c>
    </row>
    <row r="35" spans="1:3" x14ac:dyDescent="0.2">
      <c r="A35" s="9" t="s">
        <v>186</v>
      </c>
      <c r="B35" s="6">
        <v>26.27</v>
      </c>
      <c r="C35" s="6">
        <f t="shared" si="0"/>
        <v>105.08</v>
      </c>
    </row>
    <row r="36" spans="1:3" x14ac:dyDescent="0.2">
      <c r="A36" s="9" t="s">
        <v>186</v>
      </c>
      <c r="B36" s="6">
        <v>27.68</v>
      </c>
      <c r="C36" s="6">
        <f t="shared" si="0"/>
        <v>110.71999999999998</v>
      </c>
    </row>
    <row r="37" spans="1:3" x14ac:dyDescent="0.2">
      <c r="A37" s="9" t="s">
        <v>186</v>
      </c>
      <c r="B37" s="6">
        <v>28</v>
      </c>
      <c r="C37" s="6">
        <f t="shared" si="0"/>
        <v>112</v>
      </c>
    </row>
    <row r="38" spans="1:3" x14ac:dyDescent="0.2">
      <c r="A38" s="9" t="s">
        <v>186</v>
      </c>
      <c r="B38" s="6">
        <v>28.33</v>
      </c>
      <c r="C38" s="6">
        <f t="shared" si="0"/>
        <v>113.32</v>
      </c>
    </row>
    <row r="39" spans="1:3" x14ac:dyDescent="0.2">
      <c r="A39" s="9" t="s">
        <v>186</v>
      </c>
      <c r="B39" s="6">
        <v>30</v>
      </c>
      <c r="C39" s="6">
        <f t="shared" si="0"/>
        <v>120</v>
      </c>
    </row>
    <row r="40" spans="1:3" x14ac:dyDescent="0.2">
      <c r="A40" s="9" t="s">
        <v>186</v>
      </c>
      <c r="B40" s="6">
        <v>31.67</v>
      </c>
      <c r="C40" s="6">
        <f t="shared" si="0"/>
        <v>126.68</v>
      </c>
    </row>
    <row r="41" spans="1:3" x14ac:dyDescent="0.2">
      <c r="A41" s="9" t="s">
        <v>186</v>
      </c>
      <c r="B41" s="6">
        <v>32</v>
      </c>
      <c r="C41" s="6">
        <f t="shared" si="0"/>
        <v>128</v>
      </c>
    </row>
    <row r="42" spans="1:3" x14ac:dyDescent="0.2">
      <c r="A42" s="9" t="s">
        <v>186</v>
      </c>
      <c r="B42" s="6">
        <v>33.880000000000003</v>
      </c>
      <c r="C42" s="6">
        <f t="shared" si="0"/>
        <v>135.52000000000001</v>
      </c>
    </row>
    <row r="43" spans="1:3" x14ac:dyDescent="0.2">
      <c r="A43" s="9" t="s">
        <v>186</v>
      </c>
      <c r="B43" s="6">
        <v>34.24</v>
      </c>
      <c r="C43" s="6">
        <f t="shared" si="0"/>
        <v>136.96</v>
      </c>
    </row>
    <row r="44" spans="1:3" x14ac:dyDescent="0.2">
      <c r="A44" s="9" t="s">
        <v>186</v>
      </c>
      <c r="B44" s="6">
        <v>34.33</v>
      </c>
      <c r="C44" s="6">
        <f t="shared" si="0"/>
        <v>137.32</v>
      </c>
    </row>
    <row r="45" spans="1:3" x14ac:dyDescent="0.2">
      <c r="A45" s="9" t="s">
        <v>186</v>
      </c>
      <c r="B45" s="6">
        <v>37.5</v>
      </c>
      <c r="C45" s="6">
        <f t="shared" si="0"/>
        <v>150</v>
      </c>
    </row>
    <row r="46" spans="1:3" x14ac:dyDescent="0.2">
      <c r="A46" s="9" t="s">
        <v>186</v>
      </c>
      <c r="B46" s="6">
        <v>38.25</v>
      </c>
      <c r="C46" s="6">
        <f t="shared" si="0"/>
        <v>153</v>
      </c>
    </row>
    <row r="47" spans="1:3" x14ac:dyDescent="0.2">
      <c r="A47" s="9" t="s">
        <v>186</v>
      </c>
      <c r="B47" s="6">
        <v>38.43</v>
      </c>
      <c r="C47" s="6">
        <f t="shared" si="0"/>
        <v>153.72</v>
      </c>
    </row>
    <row r="48" spans="1:3" x14ac:dyDescent="0.2">
      <c r="A48" s="9" t="s">
        <v>186</v>
      </c>
      <c r="B48" s="6">
        <v>39.81</v>
      </c>
      <c r="C48" s="6">
        <f t="shared" si="0"/>
        <v>159.24</v>
      </c>
    </row>
    <row r="49" spans="1:3" x14ac:dyDescent="0.2">
      <c r="A49" s="9" t="s">
        <v>186</v>
      </c>
      <c r="B49" s="6">
        <v>40.57</v>
      </c>
      <c r="C49" s="6">
        <f t="shared" si="0"/>
        <v>162.28</v>
      </c>
    </row>
    <row r="50" spans="1:3" x14ac:dyDescent="0.2">
      <c r="A50" s="9" t="s">
        <v>186</v>
      </c>
      <c r="B50" s="6">
        <v>40.98</v>
      </c>
      <c r="C50" s="6">
        <f t="shared" si="0"/>
        <v>163.92</v>
      </c>
    </row>
    <row r="51" spans="1:3" x14ac:dyDescent="0.2">
      <c r="A51" s="9" t="s">
        <v>186</v>
      </c>
      <c r="B51" s="6">
        <v>42.98</v>
      </c>
      <c r="C51" s="6">
        <f t="shared" si="0"/>
        <v>171.92</v>
      </c>
    </row>
    <row r="52" spans="1:3" x14ac:dyDescent="0.2">
      <c r="A52" s="9" t="s">
        <v>186</v>
      </c>
      <c r="B52" s="6">
        <v>44.07</v>
      </c>
      <c r="C52" s="6">
        <f t="shared" si="0"/>
        <v>176.28</v>
      </c>
    </row>
    <row r="53" spans="1:3" x14ac:dyDescent="0.2">
      <c r="A53" s="9" t="s">
        <v>186</v>
      </c>
      <c r="B53" s="6">
        <v>45.31</v>
      </c>
      <c r="C53" s="6">
        <f t="shared" si="0"/>
        <v>181.24</v>
      </c>
    </row>
    <row r="54" spans="1:3" x14ac:dyDescent="0.2">
      <c r="A54" s="9" t="s">
        <v>186</v>
      </c>
      <c r="B54" s="6">
        <v>47.49</v>
      </c>
      <c r="C54" s="6">
        <f t="shared" si="0"/>
        <v>189.96</v>
      </c>
    </row>
    <row r="55" spans="1:3" x14ac:dyDescent="0.2">
      <c r="A55" s="9" t="s">
        <v>186</v>
      </c>
      <c r="B55" s="6">
        <v>49.9</v>
      </c>
      <c r="C55" s="6">
        <f t="shared" si="0"/>
        <v>199.6</v>
      </c>
    </row>
    <row r="56" spans="1:3" x14ac:dyDescent="0.2">
      <c r="A56" s="9" t="s">
        <v>186</v>
      </c>
      <c r="B56" s="6">
        <v>51.5</v>
      </c>
      <c r="C56" s="6">
        <f t="shared" si="0"/>
        <v>206</v>
      </c>
    </row>
    <row r="57" spans="1:3" x14ac:dyDescent="0.2">
      <c r="A57" s="9" t="s">
        <v>186</v>
      </c>
      <c r="B57" s="6">
        <v>52.34</v>
      </c>
      <c r="C57" s="6">
        <f t="shared" si="0"/>
        <v>209.36</v>
      </c>
    </row>
    <row r="58" spans="1:3" x14ac:dyDescent="0.2">
      <c r="A58" s="9" t="s">
        <v>186</v>
      </c>
      <c r="B58" s="6">
        <v>54.87</v>
      </c>
      <c r="C58" s="6">
        <f t="shared" si="0"/>
        <v>219.48</v>
      </c>
    </row>
    <row r="59" spans="1:3" x14ac:dyDescent="0.2">
      <c r="A59" s="9" t="s">
        <v>186</v>
      </c>
      <c r="B59" s="6">
        <v>60</v>
      </c>
      <c r="C59" s="6">
        <f t="shared" si="0"/>
        <v>240</v>
      </c>
    </row>
    <row r="60" spans="1:3" x14ac:dyDescent="0.2">
      <c r="A60" s="9" t="s">
        <v>186</v>
      </c>
      <c r="B60" s="6">
        <v>60</v>
      </c>
      <c r="C60" s="6">
        <f t="shared" si="0"/>
        <v>240</v>
      </c>
    </row>
    <row r="61" spans="1:3" x14ac:dyDescent="0.2">
      <c r="A61" s="9" t="s">
        <v>186</v>
      </c>
      <c r="B61" s="6">
        <v>60</v>
      </c>
      <c r="C61" s="6">
        <f t="shared" si="0"/>
        <v>240</v>
      </c>
    </row>
    <row r="62" spans="1:3" x14ac:dyDescent="0.2">
      <c r="A62" s="9" t="s">
        <v>186</v>
      </c>
      <c r="B62" s="6">
        <v>61.19</v>
      </c>
      <c r="C62" s="6">
        <f t="shared" si="0"/>
        <v>244.76</v>
      </c>
    </row>
    <row r="63" spans="1:3" x14ac:dyDescent="0.2">
      <c r="A63" s="9" t="s">
        <v>186</v>
      </c>
      <c r="B63" s="6">
        <v>62.25</v>
      </c>
      <c r="C63" s="6">
        <f t="shared" si="0"/>
        <v>249</v>
      </c>
    </row>
    <row r="64" spans="1:3" x14ac:dyDescent="0.2">
      <c r="A64" s="9" t="s">
        <v>186</v>
      </c>
      <c r="B64" s="6">
        <v>62.95</v>
      </c>
      <c r="C64" s="6">
        <f t="shared" si="0"/>
        <v>251.80000000000004</v>
      </c>
    </row>
    <row r="65" spans="1:3" x14ac:dyDescent="0.2">
      <c r="A65" s="9" t="s">
        <v>186</v>
      </c>
      <c r="B65" s="6">
        <v>64.599999999999994</v>
      </c>
      <c r="C65" s="6">
        <f t="shared" si="0"/>
        <v>258.39999999999998</v>
      </c>
    </row>
    <row r="66" spans="1:3" x14ac:dyDescent="0.2">
      <c r="A66" s="9" t="s">
        <v>186</v>
      </c>
      <c r="B66" s="6">
        <v>64.599999999999994</v>
      </c>
      <c r="C66" s="6">
        <f t="shared" si="0"/>
        <v>258.39999999999998</v>
      </c>
    </row>
    <row r="67" spans="1:3" x14ac:dyDescent="0.2">
      <c r="A67" s="9" t="s">
        <v>186</v>
      </c>
      <c r="B67" s="6">
        <v>64.599999999999994</v>
      </c>
      <c r="C67" s="6">
        <f t="shared" si="0"/>
        <v>258.39999999999998</v>
      </c>
    </row>
    <row r="68" spans="1:3" x14ac:dyDescent="0.2">
      <c r="A68" s="9" t="s">
        <v>186</v>
      </c>
      <c r="B68" s="6">
        <v>67.17</v>
      </c>
      <c r="C68" s="6">
        <f t="shared" ref="C68:C87" si="1">B68*12/3</f>
        <v>268.68</v>
      </c>
    </row>
    <row r="69" spans="1:3" x14ac:dyDescent="0.2">
      <c r="A69" s="9" t="s">
        <v>186</v>
      </c>
      <c r="B69" s="6">
        <v>67.17</v>
      </c>
      <c r="C69" s="6">
        <f t="shared" si="1"/>
        <v>268.68</v>
      </c>
    </row>
    <row r="70" spans="1:3" x14ac:dyDescent="0.2">
      <c r="A70" s="9" t="s">
        <v>186</v>
      </c>
      <c r="B70" s="6">
        <v>67.5</v>
      </c>
      <c r="C70" s="6">
        <f t="shared" si="1"/>
        <v>270</v>
      </c>
    </row>
    <row r="71" spans="1:3" x14ac:dyDescent="0.2">
      <c r="A71" s="9" t="s">
        <v>186</v>
      </c>
      <c r="B71" s="6">
        <v>68.37</v>
      </c>
      <c r="C71" s="6">
        <f t="shared" si="1"/>
        <v>273.48</v>
      </c>
    </row>
    <row r="72" spans="1:3" x14ac:dyDescent="0.2">
      <c r="A72" s="9" t="s">
        <v>186</v>
      </c>
      <c r="B72" s="6">
        <v>69.180000000000007</v>
      </c>
      <c r="C72" s="6">
        <f t="shared" si="1"/>
        <v>276.72000000000003</v>
      </c>
    </row>
    <row r="73" spans="1:3" x14ac:dyDescent="0.2">
      <c r="A73" s="9" t="s">
        <v>186</v>
      </c>
      <c r="B73" s="6">
        <v>69.760000000000005</v>
      </c>
      <c r="C73" s="6">
        <f t="shared" si="1"/>
        <v>279.04000000000002</v>
      </c>
    </row>
    <row r="74" spans="1:3" x14ac:dyDescent="0.2">
      <c r="A74" s="9" t="s">
        <v>186</v>
      </c>
      <c r="B74" s="6">
        <v>70</v>
      </c>
      <c r="C74" s="6">
        <f t="shared" si="1"/>
        <v>280</v>
      </c>
    </row>
    <row r="75" spans="1:3" x14ac:dyDescent="0.2">
      <c r="A75" s="9" t="s">
        <v>186</v>
      </c>
      <c r="B75" s="6">
        <v>70</v>
      </c>
      <c r="C75" s="6">
        <f t="shared" si="1"/>
        <v>280</v>
      </c>
    </row>
    <row r="76" spans="1:3" x14ac:dyDescent="0.2">
      <c r="A76" s="9" t="s">
        <v>186</v>
      </c>
      <c r="B76" s="6">
        <v>70.95</v>
      </c>
      <c r="C76" s="6">
        <f t="shared" si="1"/>
        <v>283.8</v>
      </c>
    </row>
    <row r="77" spans="1:3" x14ac:dyDescent="0.2">
      <c r="A77" s="9" t="s">
        <v>186</v>
      </c>
      <c r="B77" s="6">
        <v>74.33</v>
      </c>
      <c r="C77" s="6">
        <f t="shared" si="1"/>
        <v>297.32</v>
      </c>
    </row>
    <row r="78" spans="1:3" x14ac:dyDescent="0.2">
      <c r="A78" s="9" t="s">
        <v>186</v>
      </c>
      <c r="B78" s="6">
        <v>74.680000000000007</v>
      </c>
      <c r="C78" s="6">
        <f t="shared" si="1"/>
        <v>298.72000000000003</v>
      </c>
    </row>
    <row r="79" spans="1:3" x14ac:dyDescent="0.2">
      <c r="A79" s="9" t="s">
        <v>186</v>
      </c>
      <c r="B79" s="6">
        <v>77</v>
      </c>
      <c r="C79" s="6">
        <f t="shared" si="1"/>
        <v>308</v>
      </c>
    </row>
    <row r="80" spans="1:3" x14ac:dyDescent="0.2">
      <c r="A80" s="9" t="s">
        <v>186</v>
      </c>
      <c r="B80" s="6">
        <v>80.34</v>
      </c>
      <c r="C80" s="6">
        <f t="shared" si="1"/>
        <v>321.36</v>
      </c>
    </row>
    <row r="81" spans="1:3" x14ac:dyDescent="0.2">
      <c r="A81" s="9" t="s">
        <v>186</v>
      </c>
      <c r="B81" s="6">
        <v>80.510000000000005</v>
      </c>
      <c r="C81" s="6">
        <f t="shared" si="1"/>
        <v>322.04000000000002</v>
      </c>
    </row>
    <row r="82" spans="1:3" x14ac:dyDescent="0.2">
      <c r="A82" s="9" t="s">
        <v>186</v>
      </c>
      <c r="B82" s="6">
        <v>85.5</v>
      </c>
      <c r="C82" s="6">
        <f t="shared" si="1"/>
        <v>342</v>
      </c>
    </row>
    <row r="83" spans="1:3" x14ac:dyDescent="0.2">
      <c r="A83" s="9" t="s">
        <v>186</v>
      </c>
      <c r="B83" s="6">
        <v>95.79</v>
      </c>
      <c r="C83" s="6">
        <f t="shared" si="1"/>
        <v>383.16</v>
      </c>
    </row>
    <row r="84" spans="1:3" x14ac:dyDescent="0.2">
      <c r="A84" s="9" t="s">
        <v>186</v>
      </c>
      <c r="B84" s="6">
        <v>95.79</v>
      </c>
      <c r="C84" s="6">
        <f t="shared" si="1"/>
        <v>383.16</v>
      </c>
    </row>
    <row r="85" spans="1:3" x14ac:dyDescent="0.2">
      <c r="A85" s="9" t="s">
        <v>186</v>
      </c>
      <c r="B85" s="6">
        <v>100.83</v>
      </c>
      <c r="C85" s="6">
        <f t="shared" si="1"/>
        <v>403.32</v>
      </c>
    </row>
    <row r="86" spans="1:3" x14ac:dyDescent="0.2">
      <c r="A86" s="9" t="s">
        <v>186</v>
      </c>
      <c r="B86" s="6">
        <v>112.19</v>
      </c>
      <c r="C86" s="6">
        <f t="shared" si="1"/>
        <v>448.76</v>
      </c>
    </row>
    <row r="87" spans="1:3" x14ac:dyDescent="0.2">
      <c r="A87" s="9" t="s">
        <v>186</v>
      </c>
      <c r="B87" s="6">
        <v>117.14</v>
      </c>
      <c r="C87" s="6">
        <f t="shared" si="1"/>
        <v>468.56</v>
      </c>
    </row>
    <row r="88" spans="1:3" x14ac:dyDescent="0.2">
      <c r="A88" s="9" t="s">
        <v>187</v>
      </c>
      <c r="B88" s="6">
        <v>22.11</v>
      </c>
      <c r="C88" s="6">
        <f>B88*12/4</f>
        <v>66.33</v>
      </c>
    </row>
    <row r="89" spans="1:3" x14ac:dyDescent="0.2">
      <c r="A89" s="9" t="s">
        <v>187</v>
      </c>
      <c r="B89" s="6">
        <v>27.39</v>
      </c>
      <c r="C89" s="6">
        <f t="shared" ref="C89:C129" si="2">B89*12/4</f>
        <v>82.17</v>
      </c>
    </row>
    <row r="90" spans="1:3" x14ac:dyDescent="0.2">
      <c r="A90" s="9" t="s">
        <v>187</v>
      </c>
      <c r="B90" s="6">
        <v>27.39</v>
      </c>
      <c r="C90" s="6">
        <f t="shared" si="2"/>
        <v>82.17</v>
      </c>
    </row>
    <row r="91" spans="1:3" x14ac:dyDescent="0.2">
      <c r="A91" s="9" t="s">
        <v>187</v>
      </c>
      <c r="B91" s="6">
        <v>27.39</v>
      </c>
      <c r="C91" s="6">
        <f t="shared" si="2"/>
        <v>82.17</v>
      </c>
    </row>
    <row r="92" spans="1:3" x14ac:dyDescent="0.2">
      <c r="A92" s="9" t="s">
        <v>187</v>
      </c>
      <c r="B92" s="6">
        <v>29.83</v>
      </c>
      <c r="C92" s="6">
        <f t="shared" si="2"/>
        <v>89.49</v>
      </c>
    </row>
    <row r="93" spans="1:3" x14ac:dyDescent="0.2">
      <c r="A93" s="9" t="s">
        <v>187</v>
      </c>
      <c r="B93" s="6">
        <v>31.08</v>
      </c>
      <c r="C93" s="6">
        <f t="shared" si="2"/>
        <v>93.24</v>
      </c>
    </row>
    <row r="94" spans="1:3" x14ac:dyDescent="0.2">
      <c r="A94" s="9" t="s">
        <v>187</v>
      </c>
      <c r="B94" s="6">
        <v>31.67</v>
      </c>
      <c r="C94" s="6">
        <f t="shared" si="2"/>
        <v>95.01</v>
      </c>
    </row>
    <row r="95" spans="1:3" x14ac:dyDescent="0.2">
      <c r="A95" s="9" t="s">
        <v>187</v>
      </c>
      <c r="B95" s="6">
        <v>34.5</v>
      </c>
      <c r="C95" s="6">
        <f t="shared" si="2"/>
        <v>103.5</v>
      </c>
    </row>
    <row r="96" spans="1:3" x14ac:dyDescent="0.2">
      <c r="A96" s="9" t="s">
        <v>187</v>
      </c>
      <c r="B96" s="6">
        <v>34.5</v>
      </c>
      <c r="C96" s="6">
        <f t="shared" si="2"/>
        <v>103.5</v>
      </c>
    </row>
    <row r="97" spans="1:3" x14ac:dyDescent="0.2">
      <c r="A97" s="9" t="s">
        <v>187</v>
      </c>
      <c r="B97" s="6">
        <v>35.700000000000003</v>
      </c>
      <c r="C97" s="6">
        <f t="shared" si="2"/>
        <v>107.10000000000001</v>
      </c>
    </row>
    <row r="98" spans="1:3" x14ac:dyDescent="0.2">
      <c r="A98" s="9" t="s">
        <v>187</v>
      </c>
      <c r="B98" s="6">
        <v>35.700000000000003</v>
      </c>
      <c r="C98" s="6">
        <f t="shared" si="2"/>
        <v>107.10000000000001</v>
      </c>
    </row>
    <row r="99" spans="1:3" x14ac:dyDescent="0.2">
      <c r="A99" s="9" t="s">
        <v>187</v>
      </c>
      <c r="B99" s="6">
        <v>38.46</v>
      </c>
      <c r="C99" s="6">
        <f t="shared" si="2"/>
        <v>115.38</v>
      </c>
    </row>
    <row r="100" spans="1:3" x14ac:dyDescent="0.2">
      <c r="A100" s="9" t="s">
        <v>187</v>
      </c>
      <c r="B100" s="6">
        <v>40</v>
      </c>
      <c r="C100" s="6">
        <f t="shared" si="2"/>
        <v>120</v>
      </c>
    </row>
    <row r="101" spans="1:3" x14ac:dyDescent="0.2">
      <c r="A101" s="9" t="s">
        <v>187</v>
      </c>
      <c r="B101" s="6">
        <v>40</v>
      </c>
      <c r="C101" s="6">
        <f t="shared" si="2"/>
        <v>120</v>
      </c>
    </row>
    <row r="102" spans="1:3" x14ac:dyDescent="0.2">
      <c r="A102" s="9" t="s">
        <v>187</v>
      </c>
      <c r="B102" s="6">
        <v>40</v>
      </c>
      <c r="C102" s="6">
        <f t="shared" si="2"/>
        <v>120</v>
      </c>
    </row>
    <row r="103" spans="1:3" x14ac:dyDescent="0.2">
      <c r="A103" s="9" t="s">
        <v>187</v>
      </c>
      <c r="B103" s="6">
        <v>41.08</v>
      </c>
      <c r="C103" s="6">
        <f t="shared" si="2"/>
        <v>123.24</v>
      </c>
    </row>
    <row r="104" spans="1:3" x14ac:dyDescent="0.2">
      <c r="A104" s="9" t="s">
        <v>187</v>
      </c>
      <c r="B104" s="6">
        <v>41.08</v>
      </c>
      <c r="C104" s="6">
        <f t="shared" si="2"/>
        <v>123.24</v>
      </c>
    </row>
    <row r="105" spans="1:3" x14ac:dyDescent="0.2">
      <c r="A105" s="9" t="s">
        <v>187</v>
      </c>
      <c r="B105" s="6">
        <v>41.08</v>
      </c>
      <c r="C105" s="6">
        <f t="shared" si="2"/>
        <v>123.24</v>
      </c>
    </row>
    <row r="106" spans="1:3" x14ac:dyDescent="0.2">
      <c r="A106" s="9" t="s">
        <v>187</v>
      </c>
      <c r="B106" s="6">
        <v>46</v>
      </c>
      <c r="C106" s="6">
        <f t="shared" si="2"/>
        <v>138</v>
      </c>
    </row>
    <row r="107" spans="1:3" x14ac:dyDescent="0.2">
      <c r="A107" s="9" t="s">
        <v>187</v>
      </c>
      <c r="B107" s="6">
        <v>46</v>
      </c>
      <c r="C107" s="6">
        <f t="shared" si="2"/>
        <v>138</v>
      </c>
    </row>
    <row r="108" spans="1:3" x14ac:dyDescent="0.2">
      <c r="A108" s="9" t="s">
        <v>187</v>
      </c>
      <c r="B108" s="6">
        <v>46</v>
      </c>
      <c r="C108" s="6">
        <f t="shared" si="2"/>
        <v>138</v>
      </c>
    </row>
    <row r="109" spans="1:3" x14ac:dyDescent="0.2">
      <c r="A109" s="9" t="s">
        <v>187</v>
      </c>
      <c r="B109" s="6">
        <v>48.29</v>
      </c>
      <c r="C109" s="6">
        <f t="shared" si="2"/>
        <v>144.87</v>
      </c>
    </row>
    <row r="110" spans="1:3" x14ac:dyDescent="0.2">
      <c r="A110" s="9" t="s">
        <v>187</v>
      </c>
      <c r="B110" s="6">
        <v>66.47</v>
      </c>
      <c r="C110" s="6">
        <f t="shared" si="2"/>
        <v>199.41</v>
      </c>
    </row>
    <row r="111" spans="1:3" x14ac:dyDescent="0.2">
      <c r="A111" s="9" t="s">
        <v>187</v>
      </c>
      <c r="B111" s="6">
        <v>66.47</v>
      </c>
      <c r="C111" s="6">
        <f t="shared" si="2"/>
        <v>199.41</v>
      </c>
    </row>
    <row r="112" spans="1:3" x14ac:dyDescent="0.2">
      <c r="A112" s="9" t="s">
        <v>187</v>
      </c>
      <c r="B112" s="6">
        <v>67.3</v>
      </c>
      <c r="C112" s="6">
        <f t="shared" si="2"/>
        <v>201.89999999999998</v>
      </c>
    </row>
    <row r="113" spans="1:3" x14ac:dyDescent="0.2">
      <c r="A113" s="9" t="s">
        <v>187</v>
      </c>
      <c r="B113" s="6">
        <v>67.3</v>
      </c>
      <c r="C113" s="6">
        <f t="shared" si="2"/>
        <v>201.89999999999998</v>
      </c>
    </row>
    <row r="114" spans="1:3" x14ac:dyDescent="0.2">
      <c r="A114" s="9" t="s">
        <v>187</v>
      </c>
      <c r="B114" s="6">
        <v>67.58</v>
      </c>
      <c r="C114" s="6">
        <f t="shared" si="2"/>
        <v>202.74</v>
      </c>
    </row>
    <row r="115" spans="1:3" x14ac:dyDescent="0.2">
      <c r="A115" s="9" t="s">
        <v>187</v>
      </c>
      <c r="B115" s="6">
        <v>69.16</v>
      </c>
      <c r="C115" s="6">
        <f t="shared" si="2"/>
        <v>207.48</v>
      </c>
    </row>
    <row r="116" spans="1:3" x14ac:dyDescent="0.2">
      <c r="A116" s="9" t="s">
        <v>187</v>
      </c>
      <c r="B116" s="6">
        <v>69.16</v>
      </c>
      <c r="C116" s="6">
        <f t="shared" si="2"/>
        <v>207.48</v>
      </c>
    </row>
    <row r="117" spans="1:3" x14ac:dyDescent="0.2">
      <c r="A117" s="9" t="s">
        <v>187</v>
      </c>
      <c r="B117" s="6">
        <v>69.650000000000006</v>
      </c>
      <c r="C117" s="6">
        <f t="shared" si="2"/>
        <v>208.95000000000002</v>
      </c>
    </row>
    <row r="118" spans="1:3" x14ac:dyDescent="0.2">
      <c r="A118" s="9" t="s">
        <v>187</v>
      </c>
      <c r="B118" s="6">
        <v>69.650000000000006</v>
      </c>
      <c r="C118" s="6">
        <f t="shared" si="2"/>
        <v>208.95000000000002</v>
      </c>
    </row>
    <row r="119" spans="1:3" x14ac:dyDescent="0.2">
      <c r="A119" s="9" t="s">
        <v>187</v>
      </c>
      <c r="B119" s="6">
        <v>72.099999999999994</v>
      </c>
      <c r="C119" s="6">
        <f t="shared" si="2"/>
        <v>216.29999999999998</v>
      </c>
    </row>
    <row r="120" spans="1:3" x14ac:dyDescent="0.2">
      <c r="A120" s="9" t="s">
        <v>187</v>
      </c>
      <c r="B120" s="6">
        <v>78.069999999999993</v>
      </c>
      <c r="C120" s="6">
        <f t="shared" si="2"/>
        <v>234.20999999999998</v>
      </c>
    </row>
    <row r="121" spans="1:3" x14ac:dyDescent="0.2">
      <c r="A121" s="9" t="s">
        <v>187</v>
      </c>
      <c r="B121" s="6">
        <v>78.069999999999993</v>
      </c>
      <c r="C121" s="6">
        <f t="shared" si="2"/>
        <v>234.20999999999998</v>
      </c>
    </row>
    <row r="122" spans="1:3" x14ac:dyDescent="0.2">
      <c r="A122" s="9" t="s">
        <v>187</v>
      </c>
      <c r="B122" s="6">
        <v>78.069999999999993</v>
      </c>
      <c r="C122" s="6">
        <f t="shared" si="2"/>
        <v>234.20999999999998</v>
      </c>
    </row>
    <row r="123" spans="1:3" x14ac:dyDescent="0.2">
      <c r="A123" s="9" t="s">
        <v>187</v>
      </c>
      <c r="B123" s="6">
        <v>83.06</v>
      </c>
      <c r="C123" s="6">
        <f t="shared" si="2"/>
        <v>249.18</v>
      </c>
    </row>
    <row r="124" spans="1:3" x14ac:dyDescent="0.2">
      <c r="A124" s="9" t="s">
        <v>187</v>
      </c>
      <c r="B124" s="6">
        <v>83.08</v>
      </c>
      <c r="C124" s="6">
        <f t="shared" si="2"/>
        <v>249.24</v>
      </c>
    </row>
    <row r="125" spans="1:3" x14ac:dyDescent="0.2">
      <c r="A125" s="9" t="s">
        <v>187</v>
      </c>
      <c r="B125" s="6">
        <v>83.98</v>
      </c>
      <c r="C125" s="6">
        <f t="shared" si="2"/>
        <v>251.94</v>
      </c>
    </row>
    <row r="126" spans="1:3" x14ac:dyDescent="0.2">
      <c r="A126" s="9" t="s">
        <v>187</v>
      </c>
      <c r="B126" s="6">
        <v>120.19</v>
      </c>
      <c r="C126" s="6">
        <f t="shared" si="2"/>
        <v>360.57</v>
      </c>
    </row>
    <row r="127" spans="1:3" x14ac:dyDescent="0.2">
      <c r="A127" s="9" t="s">
        <v>187</v>
      </c>
      <c r="B127" s="6">
        <v>120.19</v>
      </c>
      <c r="C127" s="6">
        <f t="shared" si="2"/>
        <v>360.57</v>
      </c>
    </row>
    <row r="128" spans="1:3" x14ac:dyDescent="0.2">
      <c r="A128" s="9" t="s">
        <v>187</v>
      </c>
      <c r="B128" s="6">
        <v>120.26</v>
      </c>
      <c r="C128" s="6">
        <f t="shared" si="2"/>
        <v>360.78000000000003</v>
      </c>
    </row>
    <row r="129" spans="1:3" x14ac:dyDescent="0.2">
      <c r="A129" s="9" t="s">
        <v>187</v>
      </c>
      <c r="B129" s="6">
        <v>124.38</v>
      </c>
      <c r="C129" s="6">
        <f t="shared" si="2"/>
        <v>373.14</v>
      </c>
    </row>
  </sheetData>
  <sortState xmlns:xlrd2="http://schemas.microsoft.com/office/spreadsheetml/2017/richdata2" ref="A3:B129">
    <sortCondition ref="A3:A129"/>
    <sortCondition ref="B3:B129"/>
  </sortState>
  <mergeCells count="1">
    <mergeCell ref="A1:H1"/>
  </mergeCells>
  <pageMargins left="0.511811024" right="0.511811024" top="0.78740157499999996" bottom="0.78740157499999996" header="0.31496062000000002" footer="0.31496062000000002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8"/>
  <sheetViews>
    <sheetView topLeftCell="A4" workbookViewId="0">
      <selection activeCell="J10" sqref="J10"/>
    </sheetView>
  </sheetViews>
  <sheetFormatPr defaultColWidth="10.75" defaultRowHeight="12.75" x14ac:dyDescent="0.2"/>
  <cols>
    <col min="1" max="1" width="37.75" style="10" customWidth="1"/>
    <col min="2" max="3" width="13.75" style="5" customWidth="1"/>
    <col min="4" max="4" width="14.25" style="5" customWidth="1"/>
    <col min="5" max="16384" width="10.75" style="4"/>
  </cols>
  <sheetData>
    <row r="1" spans="1:6" ht="30" customHeight="1" x14ac:dyDescent="0.2">
      <c r="A1" s="186" t="s">
        <v>228</v>
      </c>
      <c r="B1" s="187"/>
      <c r="C1" s="187"/>
      <c r="D1" s="188"/>
    </row>
    <row r="2" spans="1:6" ht="27" customHeight="1" x14ac:dyDescent="0.2">
      <c r="A2" s="51" t="s">
        <v>207</v>
      </c>
      <c r="B2" s="52" t="s">
        <v>208</v>
      </c>
      <c r="C2" s="53" t="s">
        <v>216</v>
      </c>
      <c r="D2" s="54" t="s">
        <v>217</v>
      </c>
    </row>
    <row r="3" spans="1:6" x14ac:dyDescent="0.2">
      <c r="A3" s="96" t="s">
        <v>218</v>
      </c>
      <c r="B3" s="32">
        <v>11</v>
      </c>
      <c r="C3" s="99">
        <v>6</v>
      </c>
      <c r="D3" s="56">
        <f>B3*C3</f>
        <v>66</v>
      </c>
    </row>
    <row r="4" spans="1:6" ht="25.5" x14ac:dyDescent="0.2">
      <c r="A4" s="57" t="s">
        <v>209</v>
      </c>
      <c r="B4" s="32">
        <v>11</v>
      </c>
      <c r="C4" s="99">
        <v>6</v>
      </c>
      <c r="D4" s="56">
        <f t="shared" ref="D4:D6" si="0">B4*C4</f>
        <v>66</v>
      </c>
    </row>
    <row r="5" spans="1:6" x14ac:dyDescent="0.2">
      <c r="A5" s="55" t="s">
        <v>210</v>
      </c>
      <c r="B5" s="32">
        <v>19</v>
      </c>
      <c r="C5" s="99">
        <v>6</v>
      </c>
      <c r="D5" s="56">
        <f t="shared" si="0"/>
        <v>114</v>
      </c>
    </row>
    <row r="6" spans="1:6" x14ac:dyDescent="0.2">
      <c r="A6" s="55" t="s">
        <v>211</v>
      </c>
      <c r="B6" s="32">
        <v>1.1000000000000001</v>
      </c>
      <c r="C6" s="99">
        <v>6</v>
      </c>
      <c r="D6" s="56">
        <f t="shared" si="0"/>
        <v>6.6000000000000005</v>
      </c>
    </row>
    <row r="7" spans="1:6" x14ac:dyDescent="0.2">
      <c r="A7" s="189" t="s">
        <v>212</v>
      </c>
      <c r="B7" s="190"/>
      <c r="C7" s="191"/>
      <c r="D7" s="56">
        <f>SUM(D3:D6)</f>
        <v>252.6</v>
      </c>
    </row>
    <row r="8" spans="1:6" x14ac:dyDescent="0.2">
      <c r="A8" s="192" t="s">
        <v>213</v>
      </c>
      <c r="B8" s="193"/>
      <c r="C8" s="194"/>
      <c r="D8" s="102">
        <f>D7/28</f>
        <v>9.0214285714285705</v>
      </c>
    </row>
    <row r="9" spans="1:6" x14ac:dyDescent="0.2">
      <c r="A9" s="58"/>
      <c r="B9" s="6"/>
      <c r="C9" s="6"/>
      <c r="D9" s="56"/>
    </row>
    <row r="10" spans="1:6" ht="27.75" customHeight="1" x14ac:dyDescent="0.2">
      <c r="A10" s="195" t="s">
        <v>219</v>
      </c>
      <c r="B10" s="196"/>
      <c r="C10" s="196"/>
      <c r="D10" s="197"/>
    </row>
    <row r="11" spans="1:6" ht="25.5" x14ac:dyDescent="0.2">
      <c r="A11" s="51" t="s">
        <v>207</v>
      </c>
      <c r="B11" s="52" t="s">
        <v>208</v>
      </c>
      <c r="C11" s="53" t="s">
        <v>216</v>
      </c>
      <c r="D11" s="54" t="s">
        <v>217</v>
      </c>
    </row>
    <row r="12" spans="1:6" x14ac:dyDescent="0.2">
      <c r="A12" s="97" t="s">
        <v>218</v>
      </c>
      <c r="B12" s="6">
        <v>11</v>
      </c>
      <c r="C12" s="100">
        <v>10</v>
      </c>
      <c r="D12" s="56">
        <f>B12*C12</f>
        <v>110</v>
      </c>
    </row>
    <row r="13" spans="1:6" ht="25.5" x14ac:dyDescent="0.2">
      <c r="A13" s="59" t="s">
        <v>209</v>
      </c>
      <c r="B13" s="6">
        <v>11</v>
      </c>
      <c r="C13" s="100">
        <v>10</v>
      </c>
      <c r="D13" s="56">
        <f>B13*C13</f>
        <v>110</v>
      </c>
    </row>
    <row r="14" spans="1:6" x14ac:dyDescent="0.2">
      <c r="A14" s="58" t="s">
        <v>210</v>
      </c>
      <c r="B14" s="6">
        <v>19</v>
      </c>
      <c r="C14" s="100">
        <v>10</v>
      </c>
      <c r="D14" s="56">
        <f>B14*C14</f>
        <v>190</v>
      </c>
    </row>
    <row r="15" spans="1:6" x14ac:dyDescent="0.2">
      <c r="A15" s="58" t="s">
        <v>211</v>
      </c>
      <c r="B15" s="6">
        <v>1.1000000000000001</v>
      </c>
      <c r="C15" s="100">
        <v>10</v>
      </c>
      <c r="D15" s="56">
        <f>B15*C15</f>
        <v>11</v>
      </c>
      <c r="F15" s="5"/>
    </row>
    <row r="16" spans="1:6" x14ac:dyDescent="0.2">
      <c r="A16" s="189" t="s">
        <v>212</v>
      </c>
      <c r="B16" s="190"/>
      <c r="C16" s="191"/>
      <c r="D16" s="56">
        <f>SUM(D12:D15)</f>
        <v>421</v>
      </c>
    </row>
    <row r="17" spans="1:4" x14ac:dyDescent="0.2">
      <c r="A17" s="192" t="s">
        <v>213</v>
      </c>
      <c r="B17" s="193"/>
      <c r="C17" s="194"/>
      <c r="D17" s="102">
        <f>D16/28</f>
        <v>15.035714285714286</v>
      </c>
    </row>
    <row r="18" spans="1:4" ht="15.75" customHeight="1" thickBot="1" x14ac:dyDescent="0.25">
      <c r="A18" s="183" t="s">
        <v>214</v>
      </c>
      <c r="B18" s="184"/>
      <c r="C18" s="185"/>
      <c r="D18" s="98">
        <f>(B3+B4+B5+B6+B12+B13+B14+B15)/2</f>
        <v>42.099999999999994</v>
      </c>
    </row>
  </sheetData>
  <mergeCells count="7">
    <mergeCell ref="A18:C18"/>
    <mergeCell ref="A1:D1"/>
    <mergeCell ref="A7:C7"/>
    <mergeCell ref="A8:C8"/>
    <mergeCell ref="A10:D10"/>
    <mergeCell ref="A16:C16"/>
    <mergeCell ref="A17:C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Precificação Total</vt:lpstr>
      <vt:lpstr>Precificação por Lote</vt:lpstr>
      <vt:lpstr>Uniforme</vt:lpstr>
      <vt:lpstr>Uniforme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Vieira Ribeiro</dc:creator>
  <cp:lastModifiedBy>Aldevâneo</cp:lastModifiedBy>
  <cp:lastPrinted>2021-06-30T16:57:43Z</cp:lastPrinted>
  <dcterms:created xsi:type="dcterms:W3CDTF">2020-08-03T17:19:56Z</dcterms:created>
  <dcterms:modified xsi:type="dcterms:W3CDTF">2021-06-30T17:41:08Z</dcterms:modified>
</cp:coreProperties>
</file>